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CARAG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CARAGA!$AF:$AN</definedName>
    <definedName name="_xlnm.Print_Titles" localSheetId="0">CARAGA!$A:$A,CARAGA!$2:$4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AL79" i="1" l="1"/>
  <c r="AF79" i="1"/>
  <c r="AH79" i="1" s="1"/>
  <c r="AI79" i="1" s="1"/>
  <c r="AA79" i="1"/>
  <c r="AC79" i="1" s="1"/>
  <c r="AD79" i="1" s="1"/>
  <c r="Y79" i="1"/>
  <c r="X79" i="1"/>
  <c r="V79" i="1"/>
  <c r="Q79" i="1"/>
  <c r="S79" i="1" s="1"/>
  <c r="T79" i="1" s="1"/>
  <c r="L79" i="1"/>
  <c r="N79" i="1" s="1"/>
  <c r="O79" i="1" s="1"/>
  <c r="G79" i="1"/>
  <c r="I79" i="1" s="1"/>
  <c r="J79" i="1" s="1"/>
  <c r="D79" i="1"/>
  <c r="E79" i="1" s="1"/>
  <c r="B79" i="1"/>
  <c r="AK79" i="1" s="1"/>
  <c r="AM79" i="1" s="1"/>
  <c r="AN79" i="1" s="1"/>
  <c r="AG78" i="1"/>
  <c r="AB78" i="1"/>
  <c r="W78" i="1"/>
  <c r="R78" i="1"/>
  <c r="M78" i="1"/>
  <c r="H78" i="1"/>
  <c r="C78" i="1"/>
  <c r="AB77" i="1"/>
  <c r="W77" i="1"/>
  <c r="M77" i="1"/>
  <c r="H77" i="1"/>
  <c r="G77" i="1"/>
  <c r="AG76" i="1"/>
  <c r="AG77" i="1" s="1"/>
  <c r="AF76" i="1"/>
  <c r="AH76" i="1" s="1"/>
  <c r="AI76" i="1" s="1"/>
  <c r="AB76" i="1"/>
  <c r="AA76" i="1"/>
  <c r="AC76" i="1" s="1"/>
  <c r="AD76" i="1" s="1"/>
  <c r="W76" i="1"/>
  <c r="V76" i="1"/>
  <c r="X76" i="1" s="1"/>
  <c r="Y76" i="1" s="1"/>
  <c r="R76" i="1"/>
  <c r="R77" i="1" s="1"/>
  <c r="Q76" i="1"/>
  <c r="M76" i="1"/>
  <c r="L76" i="1"/>
  <c r="N76" i="1" s="1"/>
  <c r="O76" i="1" s="1"/>
  <c r="H76" i="1"/>
  <c r="G76" i="1"/>
  <c r="J76" i="1" s="1"/>
  <c r="C76" i="1"/>
  <c r="B76" i="1"/>
  <c r="AL75" i="1"/>
  <c r="AF75" i="1"/>
  <c r="AF77" i="1" s="1"/>
  <c r="AH77" i="1" s="1"/>
  <c r="AI77" i="1" s="1"/>
  <c r="AA75" i="1"/>
  <c r="AA78" i="1" s="1"/>
  <c r="AC78" i="1" s="1"/>
  <c r="AD78" i="1" s="1"/>
  <c r="X75" i="1"/>
  <c r="Y75" i="1" s="1"/>
  <c r="V75" i="1"/>
  <c r="V77" i="1" s="1"/>
  <c r="X77" i="1" s="1"/>
  <c r="Y77" i="1" s="1"/>
  <c r="Q75" i="1"/>
  <c r="S75" i="1" s="1"/>
  <c r="L75" i="1"/>
  <c r="L78" i="1" s="1"/>
  <c r="N78" i="1" s="1"/>
  <c r="O78" i="1" s="1"/>
  <c r="G75" i="1"/>
  <c r="G78" i="1" s="1"/>
  <c r="I78" i="1" s="1"/>
  <c r="J78" i="1" s="1"/>
  <c r="B75" i="1"/>
  <c r="AN74" i="1"/>
  <c r="AL74" i="1"/>
  <c r="AK74" i="1"/>
  <c r="AI74" i="1"/>
  <c r="AD74" i="1"/>
  <c r="Y74" i="1"/>
  <c r="T74" i="1"/>
  <c r="O74" i="1"/>
  <c r="J74" i="1"/>
  <c r="E74" i="1"/>
  <c r="AL73" i="1"/>
  <c r="AN73" i="1" s="1"/>
  <c r="AI73" i="1"/>
  <c r="AD73" i="1"/>
  <c r="Y73" i="1"/>
  <c r="O73" i="1"/>
  <c r="J73" i="1"/>
  <c r="E73" i="1"/>
  <c r="AH72" i="1"/>
  <c r="AI72" i="1" s="1"/>
  <c r="AG72" i="1"/>
  <c r="AB72" i="1"/>
  <c r="W72" i="1"/>
  <c r="V72" i="1"/>
  <c r="X72" i="1" s="1"/>
  <c r="Y72" i="1" s="1"/>
  <c r="R72" i="1"/>
  <c r="M72" i="1"/>
  <c r="H72" i="1"/>
  <c r="G72" i="1"/>
  <c r="I72" i="1" s="1"/>
  <c r="J72" i="1" s="1"/>
  <c r="C72" i="1"/>
  <c r="AG71" i="1"/>
  <c r="AF71" i="1"/>
  <c r="AH71" i="1" s="1"/>
  <c r="AI71" i="1" s="1"/>
  <c r="AC71" i="1"/>
  <c r="AD71" i="1" s="1"/>
  <c r="AB71" i="1"/>
  <c r="W71" i="1"/>
  <c r="N71" i="1"/>
  <c r="O71" i="1" s="1"/>
  <c r="M71" i="1"/>
  <c r="H71" i="1"/>
  <c r="C71" i="1"/>
  <c r="B71" i="1"/>
  <c r="D71" i="1" s="1"/>
  <c r="E71" i="1" s="1"/>
  <c r="V70" i="1"/>
  <c r="Y70" i="1" s="1"/>
  <c r="M70" i="1"/>
  <c r="H70" i="1"/>
  <c r="C70" i="1"/>
  <c r="AK69" i="1"/>
  <c r="AM69" i="1" s="1"/>
  <c r="AN69" i="1" s="1"/>
  <c r="AI69" i="1"/>
  <c r="AH69" i="1"/>
  <c r="AF69" i="1"/>
  <c r="AA69" i="1"/>
  <c r="AC69" i="1" s="1"/>
  <c r="AD69" i="1" s="1"/>
  <c r="X69" i="1"/>
  <c r="Y69" i="1" s="1"/>
  <c r="V69" i="1"/>
  <c r="R69" i="1"/>
  <c r="AL69" i="1" s="1"/>
  <c r="Q69" i="1"/>
  <c r="S69" i="1" s="1"/>
  <c r="N69" i="1"/>
  <c r="L69" i="1"/>
  <c r="G69" i="1"/>
  <c r="I69" i="1" s="1"/>
  <c r="J69" i="1" s="1"/>
  <c r="B69" i="1"/>
  <c r="D69" i="1" s="1"/>
  <c r="E69" i="1" s="1"/>
  <c r="AL68" i="1"/>
  <c r="AI68" i="1"/>
  <c r="AH68" i="1"/>
  <c r="AF68" i="1"/>
  <c r="AA68" i="1"/>
  <c r="AA71" i="1" s="1"/>
  <c r="X68" i="1"/>
  <c r="Y68" i="1" s="1"/>
  <c r="V68" i="1"/>
  <c r="V71" i="1" s="1"/>
  <c r="X71" i="1" s="1"/>
  <c r="Y71" i="1" s="1"/>
  <c r="Q68" i="1"/>
  <c r="O68" i="1"/>
  <c r="N68" i="1"/>
  <c r="L68" i="1"/>
  <c r="L71" i="1" s="1"/>
  <c r="G68" i="1"/>
  <c r="I68" i="1" s="1"/>
  <c r="J68" i="1" s="1"/>
  <c r="D68" i="1"/>
  <c r="E68" i="1" s="1"/>
  <c r="B68" i="1"/>
  <c r="AL67" i="1"/>
  <c r="AL70" i="1" s="1"/>
  <c r="AF67" i="1"/>
  <c r="AF72" i="1" s="1"/>
  <c r="AC67" i="1"/>
  <c r="AD67" i="1" s="1"/>
  <c r="AA67" i="1"/>
  <c r="AA70" i="1" s="1"/>
  <c r="AD70" i="1" s="1"/>
  <c r="V67" i="1"/>
  <c r="X67" i="1" s="1"/>
  <c r="Y67" i="1" s="1"/>
  <c r="Q67" i="1"/>
  <c r="S67" i="1" s="1"/>
  <c r="T67" i="1" s="1"/>
  <c r="L67" i="1"/>
  <c r="L70" i="1" s="1"/>
  <c r="O70" i="1" s="1"/>
  <c r="I67" i="1"/>
  <c r="J67" i="1" s="1"/>
  <c r="G67" i="1"/>
  <c r="G70" i="1" s="1"/>
  <c r="J70" i="1" s="1"/>
  <c r="B67" i="1"/>
  <c r="B72" i="1" s="1"/>
  <c r="D72" i="1" s="1"/>
  <c r="E72" i="1" s="1"/>
  <c r="AG63" i="1"/>
  <c r="AF63" i="1"/>
  <c r="AH63" i="1" s="1"/>
  <c r="AI63" i="1" s="1"/>
  <c r="AC63" i="1"/>
  <c r="AD63" i="1" s="1"/>
  <c r="AB63" i="1"/>
  <c r="AA63" i="1"/>
  <c r="W63" i="1"/>
  <c r="AL63" i="1" s="1"/>
  <c r="V63" i="1"/>
  <c r="R63" i="1"/>
  <c r="Q63" i="1"/>
  <c r="S63" i="1" s="1"/>
  <c r="T63" i="1" s="1"/>
  <c r="N63" i="1"/>
  <c r="O63" i="1" s="1"/>
  <c r="M63" i="1"/>
  <c r="L63" i="1"/>
  <c r="H63" i="1"/>
  <c r="I63" i="1" s="1"/>
  <c r="J63" i="1" s="1"/>
  <c r="G63" i="1"/>
  <c r="C63" i="1"/>
  <c r="B63" i="1"/>
  <c r="AK63" i="1" s="1"/>
  <c r="AG62" i="1"/>
  <c r="AH62" i="1" s="1"/>
  <c r="AI62" i="1" s="1"/>
  <c r="AF62" i="1"/>
  <c r="AB62" i="1"/>
  <c r="AA62" i="1"/>
  <c r="AC62" i="1" s="1"/>
  <c r="AD62" i="1" s="1"/>
  <c r="X62" i="1"/>
  <c r="Y62" i="1" s="1"/>
  <c r="W62" i="1"/>
  <c r="V62" i="1"/>
  <c r="R62" i="1"/>
  <c r="S62" i="1" s="1"/>
  <c r="T62" i="1" s="1"/>
  <c r="Q62" i="1"/>
  <c r="M62" i="1"/>
  <c r="L62" i="1"/>
  <c r="N62" i="1" s="1"/>
  <c r="O62" i="1" s="1"/>
  <c r="I62" i="1"/>
  <c r="J62" i="1" s="1"/>
  <c r="H62" i="1"/>
  <c r="G62" i="1"/>
  <c r="C62" i="1"/>
  <c r="B62" i="1"/>
  <c r="AK62" i="1" s="1"/>
  <c r="AL61" i="1"/>
  <c r="AK61" i="1"/>
  <c r="AM61" i="1" s="1"/>
  <c r="AN61" i="1" s="1"/>
  <c r="AH61" i="1"/>
  <c r="AI61" i="1" s="1"/>
  <c r="AG61" i="1"/>
  <c r="AF61" i="1"/>
  <c r="AB61" i="1"/>
  <c r="AC61" i="1" s="1"/>
  <c r="AD61" i="1" s="1"/>
  <c r="AA61" i="1"/>
  <c r="W61" i="1"/>
  <c r="V61" i="1"/>
  <c r="X61" i="1" s="1"/>
  <c r="Y61" i="1" s="1"/>
  <c r="S61" i="1"/>
  <c r="T61" i="1" s="1"/>
  <c r="R61" i="1"/>
  <c r="Q61" i="1"/>
  <c r="M61" i="1"/>
  <c r="N61" i="1" s="1"/>
  <c r="O61" i="1" s="1"/>
  <c r="L61" i="1"/>
  <c r="H61" i="1"/>
  <c r="G61" i="1"/>
  <c r="I61" i="1" s="1"/>
  <c r="J61" i="1" s="1"/>
  <c r="D61" i="1"/>
  <c r="E61" i="1" s="1"/>
  <c r="C61" i="1"/>
  <c r="B61" i="1"/>
  <c r="AG60" i="1"/>
  <c r="AF60" i="1"/>
  <c r="AH60" i="1" s="1"/>
  <c r="AI60" i="1" s="1"/>
  <c r="AC60" i="1"/>
  <c r="AD60" i="1" s="1"/>
  <c r="AB60" i="1"/>
  <c r="AA60" i="1"/>
  <c r="W60" i="1"/>
  <c r="AL60" i="1" s="1"/>
  <c r="V60" i="1"/>
  <c r="R60" i="1"/>
  <c r="Q60" i="1"/>
  <c r="S60" i="1" s="1"/>
  <c r="T60" i="1" s="1"/>
  <c r="N60" i="1"/>
  <c r="O60" i="1" s="1"/>
  <c r="M60" i="1"/>
  <c r="L60" i="1"/>
  <c r="H60" i="1"/>
  <c r="I60" i="1" s="1"/>
  <c r="J60" i="1" s="1"/>
  <c r="G60" i="1"/>
  <c r="C60" i="1"/>
  <c r="B60" i="1"/>
  <c r="AK60" i="1" s="1"/>
  <c r="AM60" i="1" s="1"/>
  <c r="AN60" i="1" s="1"/>
  <c r="AG59" i="1"/>
  <c r="AH59" i="1" s="1"/>
  <c r="AI59" i="1" s="1"/>
  <c r="AF59" i="1"/>
  <c r="AB59" i="1"/>
  <c r="AA59" i="1"/>
  <c r="AC59" i="1" s="1"/>
  <c r="AD59" i="1" s="1"/>
  <c r="X59" i="1"/>
  <c r="Y59" i="1" s="1"/>
  <c r="W59" i="1"/>
  <c r="V59" i="1"/>
  <c r="R59" i="1"/>
  <c r="S59" i="1" s="1"/>
  <c r="T59" i="1" s="1"/>
  <c r="Q59" i="1"/>
  <c r="M59" i="1"/>
  <c r="L59" i="1"/>
  <c r="N59" i="1" s="1"/>
  <c r="O59" i="1" s="1"/>
  <c r="I59" i="1"/>
  <c r="J59" i="1" s="1"/>
  <c r="H59" i="1"/>
  <c r="G59" i="1"/>
  <c r="AK59" i="1" s="1"/>
  <c r="D59" i="1"/>
  <c r="E59" i="1" s="1"/>
  <c r="C59" i="1"/>
  <c r="B59" i="1"/>
  <c r="AL56" i="1"/>
  <c r="AK56" i="1"/>
  <c r="AM56" i="1" s="1"/>
  <c r="AN56" i="1" s="1"/>
  <c r="AH56" i="1"/>
  <c r="AI56" i="1" s="1"/>
  <c r="AC56" i="1"/>
  <c r="AD56" i="1" s="1"/>
  <c r="X56" i="1"/>
  <c r="Y56" i="1" s="1"/>
  <c r="T56" i="1"/>
  <c r="S56" i="1"/>
  <c r="N56" i="1"/>
  <c r="O56" i="1" s="1"/>
  <c r="I56" i="1"/>
  <c r="J56" i="1" s="1"/>
  <c r="D56" i="1"/>
  <c r="E56" i="1" s="1"/>
  <c r="AL55" i="1"/>
  <c r="AK55" i="1"/>
  <c r="AM55" i="1" s="1"/>
  <c r="AN55" i="1" s="1"/>
  <c r="AI55" i="1"/>
  <c r="AH55" i="1"/>
  <c r="AC55" i="1"/>
  <c r="AD55" i="1" s="1"/>
  <c r="X55" i="1"/>
  <c r="Y55" i="1" s="1"/>
  <c r="S55" i="1"/>
  <c r="T55" i="1" s="1"/>
  <c r="N55" i="1"/>
  <c r="O55" i="1" s="1"/>
  <c r="I55" i="1"/>
  <c r="J55" i="1" s="1"/>
  <c r="E55" i="1"/>
  <c r="D55" i="1"/>
  <c r="AL54" i="1"/>
  <c r="AK54" i="1"/>
  <c r="AM54" i="1" s="1"/>
  <c r="AN54" i="1" s="1"/>
  <c r="AH54" i="1"/>
  <c r="AD54" i="1"/>
  <c r="AC54" i="1"/>
  <c r="X54" i="1"/>
  <c r="Y54" i="1" s="1"/>
  <c r="S54" i="1"/>
  <c r="O54" i="1"/>
  <c r="N54" i="1"/>
  <c r="I54" i="1"/>
  <c r="J54" i="1" s="1"/>
  <c r="D54" i="1"/>
  <c r="E54" i="1" s="1"/>
  <c r="AM53" i="1"/>
  <c r="AN53" i="1" s="1"/>
  <c r="AL53" i="1"/>
  <c r="AK53" i="1"/>
  <c r="AH53" i="1"/>
  <c r="AI53" i="1" s="1"/>
  <c r="AD53" i="1"/>
  <c r="AC53" i="1"/>
  <c r="X53" i="1"/>
  <c r="Y53" i="1" s="1"/>
  <c r="S53" i="1"/>
  <c r="T53" i="1" s="1"/>
  <c r="N53" i="1"/>
  <c r="O53" i="1" s="1"/>
  <c r="I53" i="1"/>
  <c r="J53" i="1" s="1"/>
  <c r="D53" i="1"/>
  <c r="E53" i="1" s="1"/>
  <c r="AH52" i="1"/>
  <c r="AI52" i="1" s="1"/>
  <c r="AG52" i="1"/>
  <c r="AF52" i="1"/>
  <c r="AB52" i="1"/>
  <c r="AA52" i="1"/>
  <c r="AC52" i="1" s="1"/>
  <c r="AD52" i="1" s="1"/>
  <c r="Y52" i="1"/>
  <c r="X52" i="1"/>
  <c r="W52" i="1"/>
  <c r="V52" i="1"/>
  <c r="S52" i="1"/>
  <c r="T52" i="1" s="1"/>
  <c r="R52" i="1"/>
  <c r="Q52" i="1"/>
  <c r="M52" i="1"/>
  <c r="L52" i="1"/>
  <c r="N52" i="1" s="1"/>
  <c r="O52" i="1" s="1"/>
  <c r="J52" i="1"/>
  <c r="I52" i="1"/>
  <c r="H52" i="1"/>
  <c r="G52" i="1"/>
  <c r="D52" i="1"/>
  <c r="E52" i="1" s="1"/>
  <c r="C52" i="1"/>
  <c r="B52" i="1"/>
  <c r="AL51" i="1"/>
  <c r="AL52" i="1" s="1"/>
  <c r="AK51" i="1"/>
  <c r="AI51" i="1"/>
  <c r="AH51" i="1"/>
  <c r="AC51" i="1"/>
  <c r="AD51" i="1" s="1"/>
  <c r="X51" i="1"/>
  <c r="Y51" i="1" s="1"/>
  <c r="S51" i="1"/>
  <c r="T51" i="1" s="1"/>
  <c r="N51" i="1"/>
  <c r="O51" i="1" s="1"/>
  <c r="I51" i="1"/>
  <c r="J51" i="1" s="1"/>
  <c r="E51" i="1"/>
  <c r="D51" i="1"/>
  <c r="AH49" i="1"/>
  <c r="AI49" i="1" s="1"/>
  <c r="AG49" i="1"/>
  <c r="AF49" i="1"/>
  <c r="AB49" i="1"/>
  <c r="AC49" i="1" s="1"/>
  <c r="AD49" i="1" s="1"/>
  <c r="AA49" i="1"/>
  <c r="W49" i="1"/>
  <c r="V49" i="1"/>
  <c r="X49" i="1" s="1"/>
  <c r="Y49" i="1" s="1"/>
  <c r="S49" i="1"/>
  <c r="T49" i="1" s="1"/>
  <c r="R49" i="1"/>
  <c r="Q49" i="1"/>
  <c r="N49" i="1"/>
  <c r="O49" i="1" s="1"/>
  <c r="M49" i="1"/>
  <c r="L49" i="1"/>
  <c r="H49" i="1"/>
  <c r="G49" i="1"/>
  <c r="I49" i="1" s="1"/>
  <c r="J49" i="1" s="1"/>
  <c r="D49" i="1"/>
  <c r="E49" i="1" s="1"/>
  <c r="C49" i="1"/>
  <c r="B49" i="1"/>
  <c r="AL48" i="1"/>
  <c r="AL49" i="1" s="1"/>
  <c r="AK48" i="1"/>
  <c r="AH48" i="1"/>
  <c r="AI48" i="1" s="1"/>
  <c r="AC48" i="1"/>
  <c r="AD48" i="1" s="1"/>
  <c r="X48" i="1"/>
  <c r="Y48" i="1" s="1"/>
  <c r="S48" i="1"/>
  <c r="T48" i="1" s="1"/>
  <c r="N48" i="1"/>
  <c r="O48" i="1" s="1"/>
  <c r="J48" i="1"/>
  <c r="I48" i="1"/>
  <c r="D48" i="1"/>
  <c r="E48" i="1" s="1"/>
  <c r="AM41" i="1"/>
  <c r="AN41" i="1" s="1"/>
  <c r="AL41" i="1"/>
  <c r="AK41" i="1"/>
  <c r="AH41" i="1"/>
  <c r="AI41" i="1" s="1"/>
  <c r="AC41" i="1"/>
  <c r="AD41" i="1" s="1"/>
  <c r="Y41" i="1"/>
  <c r="X41" i="1"/>
  <c r="S41" i="1"/>
  <c r="T41" i="1" s="1"/>
  <c r="N41" i="1"/>
  <c r="O41" i="1" s="1"/>
  <c r="I41" i="1"/>
  <c r="J41" i="1" s="1"/>
  <c r="D41" i="1"/>
  <c r="E41" i="1" s="1"/>
  <c r="AL40" i="1"/>
  <c r="AM40" i="1" s="1"/>
  <c r="AN40" i="1" s="1"/>
  <c r="AK40" i="1"/>
  <c r="AH40" i="1"/>
  <c r="AC40" i="1"/>
  <c r="X40" i="1"/>
  <c r="Y40" i="1" s="1"/>
  <c r="S40" i="1"/>
  <c r="T40" i="1" s="1"/>
  <c r="N40" i="1"/>
  <c r="O40" i="1" s="1"/>
  <c r="I40" i="1"/>
  <c r="J40" i="1" s="1"/>
  <c r="E40" i="1"/>
  <c r="D40" i="1"/>
  <c r="AL39" i="1"/>
  <c r="AK39" i="1"/>
  <c r="AM39" i="1" s="1"/>
  <c r="AN39" i="1" s="1"/>
  <c r="AH39" i="1"/>
  <c r="AI39" i="1" s="1"/>
  <c r="AC39" i="1"/>
  <c r="AD39" i="1" s="1"/>
  <c r="X39" i="1"/>
  <c r="Y39" i="1" s="1"/>
  <c r="T39" i="1"/>
  <c r="S39" i="1"/>
  <c r="N39" i="1"/>
  <c r="O39" i="1" s="1"/>
  <c r="I39" i="1"/>
  <c r="J39" i="1" s="1"/>
  <c r="D39" i="1"/>
  <c r="E39" i="1" s="1"/>
  <c r="AM33" i="1"/>
  <c r="AN33" i="1" s="1"/>
  <c r="AL33" i="1"/>
  <c r="AK33" i="1"/>
  <c r="AI33" i="1"/>
  <c r="AH33" i="1"/>
  <c r="AC33" i="1"/>
  <c r="AD33" i="1" s="1"/>
  <c r="Y33" i="1"/>
  <c r="X33" i="1"/>
  <c r="S33" i="1"/>
  <c r="T33" i="1" s="1"/>
  <c r="N33" i="1"/>
  <c r="J33" i="1"/>
  <c r="I33" i="1"/>
  <c r="E33" i="1"/>
  <c r="D33" i="1"/>
  <c r="Q32" i="1"/>
  <c r="AL30" i="1"/>
  <c r="AK30" i="1"/>
  <c r="AM30" i="1" s="1"/>
  <c r="AN30" i="1" s="1"/>
  <c r="AH30" i="1"/>
  <c r="AI30" i="1" s="1"/>
  <c r="AC30" i="1"/>
  <c r="AD30" i="1" s="1"/>
  <c r="Y30" i="1"/>
  <c r="X30" i="1"/>
  <c r="T30" i="1"/>
  <c r="S30" i="1"/>
  <c r="O30" i="1"/>
  <c r="N30" i="1"/>
  <c r="J30" i="1"/>
  <c r="I30" i="1"/>
  <c r="D30" i="1"/>
  <c r="E30" i="1" s="1"/>
  <c r="AN29" i="1"/>
  <c r="AM29" i="1"/>
  <c r="AL29" i="1"/>
  <c r="AK29" i="1"/>
  <c r="AI29" i="1"/>
  <c r="AH29" i="1"/>
  <c r="AD29" i="1"/>
  <c r="AC29" i="1"/>
  <c r="Y29" i="1"/>
  <c r="X29" i="1"/>
  <c r="S29" i="1"/>
  <c r="T29" i="1" s="1"/>
  <c r="N29" i="1"/>
  <c r="O29" i="1" s="1"/>
  <c r="J29" i="1"/>
  <c r="I29" i="1"/>
  <c r="E29" i="1"/>
  <c r="D29" i="1"/>
  <c r="AF28" i="1"/>
  <c r="AF31" i="1" s="1"/>
  <c r="Q28" i="1"/>
  <c r="Q31" i="1" s="1"/>
  <c r="B28" i="1"/>
  <c r="B31" i="1" s="1"/>
  <c r="AI27" i="1"/>
  <c r="AD27" i="1"/>
  <c r="Y27" i="1"/>
  <c r="T27" i="1"/>
  <c r="J27" i="1"/>
  <c r="B27" i="1"/>
  <c r="AN26" i="1"/>
  <c r="AM26" i="1"/>
  <c r="AL26" i="1"/>
  <c r="AK26" i="1"/>
  <c r="AH26" i="1"/>
  <c r="AI26" i="1" s="1"/>
  <c r="AC26" i="1"/>
  <c r="AD26" i="1" s="1"/>
  <c r="Y26" i="1"/>
  <c r="X26" i="1"/>
  <c r="S26" i="1"/>
  <c r="T26" i="1" s="1"/>
  <c r="O26" i="1"/>
  <c r="N26" i="1"/>
  <c r="I26" i="1"/>
  <c r="J26" i="1" s="1"/>
  <c r="D26" i="1"/>
  <c r="E26" i="1" s="1"/>
  <c r="AF25" i="1"/>
  <c r="AM24" i="1"/>
  <c r="AN24" i="1" s="1"/>
  <c r="AL24" i="1"/>
  <c r="AK24" i="1"/>
  <c r="AI24" i="1"/>
  <c r="AH24" i="1"/>
  <c r="AC24" i="1"/>
  <c r="AD24" i="1" s="1"/>
  <c r="Y24" i="1"/>
  <c r="X24" i="1"/>
  <c r="S24" i="1"/>
  <c r="T24" i="1" s="1"/>
  <c r="N24" i="1"/>
  <c r="O24" i="1" s="1"/>
  <c r="I24" i="1"/>
  <c r="J24" i="1" s="1"/>
  <c r="E24" i="1"/>
  <c r="D24" i="1"/>
  <c r="AF23" i="1"/>
  <c r="Q23" i="1"/>
  <c r="B23" i="1"/>
  <c r="B25" i="1" s="1"/>
  <c r="AL22" i="1"/>
  <c r="AK22" i="1"/>
  <c r="AM22" i="1" s="1"/>
  <c r="AN22" i="1" s="1"/>
  <c r="AH22" i="1"/>
  <c r="AI22" i="1" s="1"/>
  <c r="AD22" i="1"/>
  <c r="AC22" i="1"/>
  <c r="X22" i="1"/>
  <c r="Y22" i="1" s="1"/>
  <c r="S22" i="1"/>
  <c r="T22" i="1" s="1"/>
  <c r="N22" i="1"/>
  <c r="O22" i="1" s="1"/>
  <c r="J22" i="1"/>
  <c r="I22" i="1"/>
  <c r="D22" i="1"/>
  <c r="E22" i="1" s="1"/>
  <c r="AF21" i="1"/>
  <c r="AB21" i="1"/>
  <c r="AB23" i="1" s="1"/>
  <c r="AA21" i="1"/>
  <c r="Y21" i="1"/>
  <c r="V21" i="1"/>
  <c r="V23" i="1" s="1"/>
  <c r="Q21" i="1"/>
  <c r="M21" i="1"/>
  <c r="M23" i="1" s="1"/>
  <c r="L21" i="1"/>
  <c r="G21" i="1"/>
  <c r="G23" i="1" s="1"/>
  <c r="B21" i="1"/>
  <c r="AL20" i="1"/>
  <c r="AK20" i="1"/>
  <c r="AM20" i="1" s="1"/>
  <c r="AH20" i="1"/>
  <c r="AD20" i="1"/>
  <c r="AC20" i="1"/>
  <c r="X20" i="1"/>
  <c r="Y20" i="1" s="1"/>
  <c r="S20" i="1"/>
  <c r="N20" i="1"/>
  <c r="I20" i="1"/>
  <c r="D20" i="1"/>
  <c r="AL19" i="1"/>
  <c r="AK19" i="1"/>
  <c r="AM19" i="1" s="1"/>
  <c r="AN19" i="1" s="1"/>
  <c r="AH19" i="1"/>
  <c r="AD19" i="1"/>
  <c r="AC19" i="1"/>
  <c r="Y19" i="1"/>
  <c r="X19" i="1"/>
  <c r="S19" i="1"/>
  <c r="N19" i="1"/>
  <c r="I19" i="1"/>
  <c r="E19" i="1"/>
  <c r="D19" i="1"/>
  <c r="AL18" i="1"/>
  <c r="AM18" i="1" s="1"/>
  <c r="AN18" i="1" s="1"/>
  <c r="AK18" i="1"/>
  <c r="AH18" i="1"/>
  <c r="AI18" i="1" s="1"/>
  <c r="AC18" i="1"/>
  <c r="AD18" i="1" s="1"/>
  <c r="X18" i="1"/>
  <c r="Y18" i="1" s="1"/>
  <c r="T18" i="1"/>
  <c r="S18" i="1"/>
  <c r="N18" i="1"/>
  <c r="O18" i="1" s="1"/>
  <c r="J18" i="1"/>
  <c r="I18" i="1"/>
  <c r="D18" i="1"/>
  <c r="E18" i="1" s="1"/>
  <c r="AL17" i="1"/>
  <c r="AK17" i="1"/>
  <c r="AM17" i="1" s="1"/>
  <c r="AK16" i="1"/>
  <c r="AH16" i="1"/>
  <c r="AI16" i="1" s="1"/>
  <c r="AG16" i="1"/>
  <c r="AG21" i="1" s="1"/>
  <c r="AC16" i="1"/>
  <c r="AD16" i="1" s="1"/>
  <c r="AB16" i="1"/>
  <c r="Y16" i="1"/>
  <c r="X16" i="1"/>
  <c r="W16" i="1"/>
  <c r="W21" i="1" s="1"/>
  <c r="X21" i="1" s="1"/>
  <c r="R16" i="1"/>
  <c r="N16" i="1"/>
  <c r="O16" i="1" s="1"/>
  <c r="H16" i="1"/>
  <c r="H21" i="1" s="1"/>
  <c r="H23" i="1" s="1"/>
  <c r="D16" i="1"/>
  <c r="E16" i="1" s="1"/>
  <c r="C16" i="1"/>
  <c r="C21" i="1" s="1"/>
  <c r="AL15" i="1"/>
  <c r="AK15" i="1"/>
  <c r="AM15" i="1" s="1"/>
  <c r="AN15" i="1" s="1"/>
  <c r="AH15" i="1"/>
  <c r="AI15" i="1" s="1"/>
  <c r="AD15" i="1"/>
  <c r="AC15" i="1"/>
  <c r="Y15" i="1"/>
  <c r="X15" i="1"/>
  <c r="T15" i="1"/>
  <c r="S15" i="1"/>
  <c r="N15" i="1"/>
  <c r="O15" i="1" s="1"/>
  <c r="I15" i="1"/>
  <c r="J15" i="1" s="1"/>
  <c r="D15" i="1"/>
  <c r="E15" i="1" s="1"/>
  <c r="AL14" i="1"/>
  <c r="AK14" i="1"/>
  <c r="AI14" i="1"/>
  <c r="AH14" i="1"/>
  <c r="AC14" i="1"/>
  <c r="AD14" i="1" s="1"/>
  <c r="X14" i="1"/>
  <c r="Y14" i="1" s="1"/>
  <c r="S14" i="1"/>
  <c r="T14" i="1" s="1"/>
  <c r="O14" i="1"/>
  <c r="N14" i="1"/>
  <c r="J14" i="1"/>
  <c r="I14" i="1"/>
  <c r="E14" i="1"/>
  <c r="D14" i="1"/>
  <c r="A3" i="1"/>
  <c r="A2" i="1"/>
  <c r="AM63" i="1" l="1"/>
  <c r="AN63" i="1" s="1"/>
  <c r="H28" i="1"/>
  <c r="H31" i="1" s="1"/>
  <c r="I23" i="1"/>
  <c r="J23" i="1" s="1"/>
  <c r="H25" i="1"/>
  <c r="AA23" i="1"/>
  <c r="AC21" i="1"/>
  <c r="AD21" i="1" s="1"/>
  <c r="Q71" i="1"/>
  <c r="S71" i="1" s="1"/>
  <c r="T71" i="1" s="1"/>
  <c r="S68" i="1"/>
  <c r="T68" i="1" s="1"/>
  <c r="AB25" i="1"/>
  <c r="AB28" i="1"/>
  <c r="AB31" i="1" s="1"/>
  <c r="AH23" i="1"/>
  <c r="AI23" i="1" s="1"/>
  <c r="X60" i="1"/>
  <c r="Y60" i="1" s="1"/>
  <c r="X63" i="1"/>
  <c r="Y63" i="1" s="1"/>
  <c r="R21" i="1"/>
  <c r="S16" i="1"/>
  <c r="T16" i="1" s="1"/>
  <c r="AF32" i="1"/>
  <c r="AF34" i="1"/>
  <c r="D76" i="1"/>
  <c r="E76" i="1" s="1"/>
  <c r="AK76" i="1"/>
  <c r="Q34" i="1"/>
  <c r="Q72" i="1"/>
  <c r="S72" i="1" s="1"/>
  <c r="T72" i="1" s="1"/>
  <c r="Q70" i="1"/>
  <c r="G25" i="1"/>
  <c r="J25" i="1" s="1"/>
  <c r="G28" i="1"/>
  <c r="AL72" i="1"/>
  <c r="B77" i="1"/>
  <c r="AK75" i="1"/>
  <c r="B78" i="1"/>
  <c r="D78" i="1" s="1"/>
  <c r="E78" i="1" s="1"/>
  <c r="C77" i="1"/>
  <c r="AL76" i="1"/>
  <c r="AL77" i="1" s="1"/>
  <c r="AL59" i="1"/>
  <c r="D75" i="1"/>
  <c r="E75" i="1" s="1"/>
  <c r="I77" i="1"/>
  <c r="J77" i="1" s="1"/>
  <c r="AK52" i="1"/>
  <c r="AM52" i="1" s="1"/>
  <c r="AN52" i="1" s="1"/>
  <c r="AM51" i="1"/>
  <c r="AN51" i="1" s="1"/>
  <c r="AL62" i="1"/>
  <c r="AM62" i="1" s="1"/>
  <c r="AN62" i="1" s="1"/>
  <c r="AK67" i="1"/>
  <c r="AK21" i="1"/>
  <c r="D62" i="1"/>
  <c r="E62" i="1" s="1"/>
  <c r="D21" i="1"/>
  <c r="E21" i="1" s="1"/>
  <c r="C23" i="1"/>
  <c r="L23" i="1"/>
  <c r="N21" i="1"/>
  <c r="O21" i="1" s="1"/>
  <c r="AM59" i="1"/>
  <c r="AN59" i="1" s="1"/>
  <c r="M28" i="1"/>
  <c r="M31" i="1" s="1"/>
  <c r="M25" i="1"/>
  <c r="AH21" i="1"/>
  <c r="AI21" i="1" s="1"/>
  <c r="AG23" i="1"/>
  <c r="V25" i="1"/>
  <c r="V28" i="1"/>
  <c r="W23" i="1"/>
  <c r="B34" i="1"/>
  <c r="B32" i="1"/>
  <c r="AM48" i="1"/>
  <c r="AN48" i="1" s="1"/>
  <c r="AK68" i="1"/>
  <c r="AM68" i="1" s="1"/>
  <c r="AN68" i="1" s="1"/>
  <c r="S76" i="1"/>
  <c r="T76" i="1" s="1"/>
  <c r="AL16" i="1"/>
  <c r="AL21" i="1" s="1"/>
  <c r="AL23" i="1" s="1"/>
  <c r="R70" i="1"/>
  <c r="R71" i="1"/>
  <c r="AC75" i="1"/>
  <c r="AD75" i="1" s="1"/>
  <c r="AA77" i="1"/>
  <c r="AC77" i="1" s="1"/>
  <c r="AD77" i="1" s="1"/>
  <c r="Q78" i="1"/>
  <c r="S78" i="1" s="1"/>
  <c r="T78" i="1" s="1"/>
  <c r="AF78" i="1"/>
  <c r="AH78" i="1" s="1"/>
  <c r="AI78" i="1" s="1"/>
  <c r="Q25" i="1"/>
  <c r="D67" i="1"/>
  <c r="E67" i="1" s="1"/>
  <c r="I75" i="1"/>
  <c r="J75" i="1" s="1"/>
  <c r="L77" i="1"/>
  <c r="N77" i="1" s="1"/>
  <c r="O77" i="1" s="1"/>
  <c r="B70" i="1"/>
  <c r="E70" i="1" s="1"/>
  <c r="G71" i="1"/>
  <c r="I71" i="1" s="1"/>
  <c r="J71" i="1" s="1"/>
  <c r="AK71" i="1"/>
  <c r="AM71" i="1" s="1"/>
  <c r="AN71" i="1" s="1"/>
  <c r="L72" i="1"/>
  <c r="N72" i="1" s="1"/>
  <c r="O72" i="1" s="1"/>
  <c r="AA72" i="1"/>
  <c r="AC72" i="1" s="1"/>
  <c r="AD72" i="1" s="1"/>
  <c r="AH75" i="1"/>
  <c r="AI75" i="1" s="1"/>
  <c r="I76" i="1"/>
  <c r="AK49" i="1"/>
  <c r="AM49" i="1" s="1"/>
  <c r="AN49" i="1" s="1"/>
  <c r="AL71" i="1"/>
  <c r="N75" i="1"/>
  <c r="O75" i="1" s="1"/>
  <c r="V78" i="1"/>
  <c r="X78" i="1" s="1"/>
  <c r="Y78" i="1" s="1"/>
  <c r="AK78" i="1"/>
  <c r="AC68" i="1"/>
  <c r="AD68" i="1" s="1"/>
  <c r="Q77" i="1"/>
  <c r="S77" i="1" s="1"/>
  <c r="AL78" i="1"/>
  <c r="D60" i="1"/>
  <c r="E60" i="1" s="1"/>
  <c r="D63" i="1"/>
  <c r="E63" i="1" s="1"/>
  <c r="AF70" i="1"/>
  <c r="AI70" i="1" s="1"/>
  <c r="AM14" i="1"/>
  <c r="AN14" i="1" s="1"/>
  <c r="I16" i="1"/>
  <c r="J16" i="1" s="1"/>
  <c r="N67" i="1"/>
  <c r="O67" i="1" s="1"/>
  <c r="AH67" i="1"/>
  <c r="AI67" i="1" s="1"/>
  <c r="I21" i="1"/>
  <c r="J21" i="1" s="1"/>
  <c r="AL28" i="1" l="1"/>
  <c r="AL31" i="1" s="1"/>
  <c r="AL25" i="1"/>
  <c r="AL27" i="1"/>
  <c r="D77" i="1"/>
  <c r="E77" i="1" s="1"/>
  <c r="AF35" i="1"/>
  <c r="AK70" i="1"/>
  <c r="AN70" i="1" s="1"/>
  <c r="AM67" i="1"/>
  <c r="AN67" i="1" s="1"/>
  <c r="AK72" i="1"/>
  <c r="AM72" i="1" s="1"/>
  <c r="AN72" i="1" s="1"/>
  <c r="AM76" i="1"/>
  <c r="AN76" i="1" s="1"/>
  <c r="AK77" i="1"/>
  <c r="AM77" i="1" s="1"/>
  <c r="AN77" i="1" s="1"/>
  <c r="AM75" i="1"/>
  <c r="AN75" i="1" s="1"/>
  <c r="AM16" i="1"/>
  <c r="AN16" i="1" s="1"/>
  <c r="AB32" i="1"/>
  <c r="AB34" i="1"/>
  <c r="AB35" i="1" s="1"/>
  <c r="B35" i="1"/>
  <c r="I28" i="1"/>
  <c r="J28" i="1" s="1"/>
  <c r="G31" i="1"/>
  <c r="AA25" i="1"/>
  <c r="AD25" i="1" s="1"/>
  <c r="AA28" i="1"/>
  <c r="AC23" i="1"/>
  <c r="AD23" i="1" s="1"/>
  <c r="W25" i="1"/>
  <c r="W28" i="1"/>
  <c r="W31" i="1" s="1"/>
  <c r="X23" i="1"/>
  <c r="Y23" i="1" s="1"/>
  <c r="L28" i="1"/>
  <c r="N23" i="1"/>
  <c r="O23" i="1" s="1"/>
  <c r="L25" i="1"/>
  <c r="T70" i="1"/>
  <c r="S21" i="1"/>
  <c r="T21" i="1" s="1"/>
  <c r="R23" i="1"/>
  <c r="M32" i="1"/>
  <c r="M34" i="1"/>
  <c r="M35" i="1" s="1"/>
  <c r="V31" i="1"/>
  <c r="C25" i="1"/>
  <c r="C27" i="1"/>
  <c r="E27" i="1" s="1"/>
  <c r="C28" i="1"/>
  <c r="AK23" i="1"/>
  <c r="AM21" i="1"/>
  <c r="AN21" i="1" s="1"/>
  <c r="AM78" i="1"/>
  <c r="AN78" i="1" s="1"/>
  <c r="Y25" i="1"/>
  <c r="Q35" i="1"/>
  <c r="H32" i="1"/>
  <c r="H34" i="1"/>
  <c r="H35" i="1" s="1"/>
  <c r="D23" i="1"/>
  <c r="E23" i="1" s="1"/>
  <c r="AG28" i="1"/>
  <c r="AG25" i="1"/>
  <c r="AI25" i="1" s="1"/>
  <c r="AC28" i="1" l="1"/>
  <c r="AD28" i="1" s="1"/>
  <c r="AA31" i="1"/>
  <c r="R25" i="1"/>
  <c r="T25" i="1" s="1"/>
  <c r="R28" i="1"/>
  <c r="S23" i="1"/>
  <c r="T23" i="1" s="1"/>
  <c r="G32" i="1"/>
  <c r="J32" i="1" s="1"/>
  <c r="G34" i="1"/>
  <c r="I31" i="1"/>
  <c r="J31" i="1" s="1"/>
  <c r="AK28" i="1"/>
  <c r="AK25" i="1"/>
  <c r="AN25" i="1" s="1"/>
  <c r="AM23" i="1"/>
  <c r="AN23" i="1" s="1"/>
  <c r="AK27" i="1"/>
  <c r="AN27" i="1" s="1"/>
  <c r="C31" i="1"/>
  <c r="D28" i="1"/>
  <c r="E28" i="1" s="1"/>
  <c r="N28" i="1"/>
  <c r="O28" i="1" s="1"/>
  <c r="L31" i="1"/>
  <c r="AG31" i="1"/>
  <c r="AH28" i="1"/>
  <c r="AI28" i="1" s="1"/>
  <c r="W32" i="1"/>
  <c r="W34" i="1"/>
  <c r="W35" i="1" s="1"/>
  <c r="V32" i="1"/>
  <c r="Y32" i="1" s="1"/>
  <c r="X31" i="1"/>
  <c r="Y31" i="1" s="1"/>
  <c r="V34" i="1"/>
  <c r="X28" i="1"/>
  <c r="Y28" i="1" s="1"/>
  <c r="AL34" i="1"/>
  <c r="AL35" i="1" s="1"/>
  <c r="AL32" i="1"/>
  <c r="AG32" i="1" l="1"/>
  <c r="AI32" i="1" s="1"/>
  <c r="AG34" i="1"/>
  <c r="AH31" i="1"/>
  <c r="AI31" i="1" s="1"/>
  <c r="G35" i="1"/>
  <c r="J35" i="1" s="1"/>
  <c r="I34" i="1"/>
  <c r="J34" i="1" s="1"/>
  <c r="L32" i="1"/>
  <c r="O32" i="1" s="1"/>
  <c r="N31" i="1"/>
  <c r="O31" i="1" s="1"/>
  <c r="L34" i="1"/>
  <c r="R31" i="1"/>
  <c r="S28" i="1"/>
  <c r="T28" i="1" s="1"/>
  <c r="C34" i="1"/>
  <c r="C32" i="1"/>
  <c r="E32" i="1" s="1"/>
  <c r="D31" i="1"/>
  <c r="E31" i="1" s="1"/>
  <c r="AM28" i="1"/>
  <c r="AN28" i="1" s="1"/>
  <c r="AK31" i="1"/>
  <c r="V35" i="1"/>
  <c r="Y35" i="1" s="1"/>
  <c r="X34" i="1"/>
  <c r="Y34" i="1" s="1"/>
  <c r="AA32" i="1"/>
  <c r="AD32" i="1" s="1"/>
  <c r="AC31" i="1"/>
  <c r="AD31" i="1" s="1"/>
  <c r="AA34" i="1"/>
  <c r="AA35" i="1" l="1"/>
  <c r="AD35" i="1" s="1"/>
  <c r="AC34" i="1"/>
  <c r="AD34" i="1" s="1"/>
  <c r="L35" i="1"/>
  <c r="O35" i="1" s="1"/>
  <c r="N34" i="1"/>
  <c r="O34" i="1" s="1"/>
  <c r="R34" i="1"/>
  <c r="R32" i="1"/>
  <c r="T32" i="1" s="1"/>
  <c r="S31" i="1"/>
  <c r="T31" i="1" s="1"/>
  <c r="C35" i="1"/>
  <c r="E35" i="1" s="1"/>
  <c r="D34" i="1"/>
  <c r="E34" i="1" s="1"/>
  <c r="AM31" i="1"/>
  <c r="AN31" i="1" s="1"/>
  <c r="AK32" i="1"/>
  <c r="AN32" i="1" s="1"/>
  <c r="AK34" i="1"/>
  <c r="AG35" i="1"/>
  <c r="AI35" i="1" s="1"/>
  <c r="AH34" i="1"/>
  <c r="AI34" i="1" s="1"/>
  <c r="AM34" i="1" l="1"/>
  <c r="AN34" i="1" s="1"/>
  <c r="AK35" i="1"/>
  <c r="AN35" i="1" s="1"/>
  <c r="R35" i="1"/>
  <c r="T35" i="1" s="1"/>
  <c r="S34" i="1"/>
  <c r="T34" i="1" s="1"/>
</calcChain>
</file>

<file path=xl/sharedStrings.xml><?xml version="1.0" encoding="utf-8"?>
<sst xmlns="http://schemas.openxmlformats.org/spreadsheetml/2006/main" count="132" uniqueCount="78">
  <si>
    <t>CARAGA</t>
  </si>
  <si>
    <t>(In Thousand)</t>
  </si>
  <si>
    <t>ANECO</t>
  </si>
  <si>
    <t>ASELCO</t>
  </si>
  <si>
    <t>DIELCO</t>
  </si>
  <si>
    <t>SIARELCO</t>
  </si>
  <si>
    <t>SURNECO</t>
  </si>
  <si>
    <t>SURSECO I</t>
  </si>
  <si>
    <t>SURSECO II</t>
  </si>
  <si>
    <t xml:space="preserve">       T O T A L</t>
  </si>
  <si>
    <t>Inc. / (Dec)</t>
  </si>
  <si>
    <t>June</t>
  </si>
  <si>
    <t>Amount</t>
  </si>
  <si>
    <t>Percent</t>
  </si>
  <si>
    <t>STATEMENT OF OPERATIONS</t>
  </si>
  <si>
    <t xml:space="preserve">  Total Bills</t>
  </si>
  <si>
    <t xml:space="preserve">  Less: RFSC</t>
  </si>
  <si>
    <t xml:space="preserve">            Universal Charge/FIT-All</t>
  </si>
  <si>
    <t xml:space="preserve">             FIT-All</t>
  </si>
  <si>
    <t xml:space="preserve">             Value Added Tax</t>
  </si>
  <si>
    <t xml:space="preserve">          Other Taxes</t>
  </si>
  <si>
    <t xml:space="preserve"> 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</si>
  <si>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</si>
  <si>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</si>
  <si>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</si>
  <si>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</si>
  <si>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</si>
  <si>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</si>
  <si>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</si>
  <si>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</si>
  <si>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</si>
  <si>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</si>
  <si>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</si>
  <si>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</si>
  <si>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</si>
  <si>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</si>
  <si>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</si>
  <si>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</si>
  <si>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</si>
  <si>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</si>
  <si>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</si>
  <si>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</si>
  <si>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</si>
  <si>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</si>
  <si>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</si>
  <si>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</si>
  <si>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</si>
  <si>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</si>
  <si>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</si>
  <si>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</si>
  <si>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</si>
  <si>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</si>
  <si>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</si>
  <si>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</si>
  <si>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</si>
  <si>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</si>
  <si>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</si>
  <si>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</si>
  <si>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</si>
  <si>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</si>
  <si>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</si>
  <si>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</si>
  <si>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</si>
  <si>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</si>
  <si>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</si>
  <si>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</si>
  <si>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</si>
  <si>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</si>
  <si>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</si>
  <si>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</si>
  <si>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</si>
  <si>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</si>
  <si>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</si>
  <si>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Mega Large</t>
  </si>
  <si>
    <t>AAA - Large</t>
  </si>
  <si>
    <t>AAA - Extra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</si>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</sst>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"/>
    <numFmt numFmtId="165" formatCode="_(* #,##0_);_(* \(#,##0\);_(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left"/>
    </xf>
    <xf numFmtId="165" fontId="2" fillId="0" borderId="0" xfId="1" applyNumberFormat="1" applyFont="1" applyFill="1"/>
    <xf numFmtId="43" fontId="2" fillId="0" borderId="0" xfId="1" applyNumberFormat="1" applyFont="1" applyFill="1"/>
    <xf numFmtId="165" fontId="2" fillId="0" borderId="0" xfId="0" applyNumberFormat="1" applyFont="1"/>
    <xf numFmtId="165" fontId="2" fillId="0" borderId="0" xfId="0" applyNumberFormat="1" applyFont="1" applyAlignment="1">
      <alignment horizontal="left" vertical="center" indent="1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" fontId="2" fillId="0" borderId="0" xfId="0" applyNumberFormat="1" applyFont="1"/>
    <xf numFmtId="165" fontId="2" fillId="0" borderId="0" xfId="1" applyNumberFormat="1" applyFont="1" applyFill="1" applyAlignment="1">
      <alignment horizontal="right"/>
    </xf>
    <xf numFmtId="43" fontId="2" fillId="0" borderId="0" xfId="0" applyNumberFormat="1" applyFont="1"/>
    <xf numFmtId="43" fontId="2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center"/>
    </xf>
    <xf numFmtId="43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fas%20v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as%20of%20Nov%2030,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ABI\2021\FP\TECHNICAL%20Operations%202nd%20Quarter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ombrogbvjr\Downloads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Financial Profile as of June 30, 2023</v>
          </cell>
        </row>
      </sheetData>
      <sheetData sheetId="9">
        <row r="2">
          <cell r="A2" t="str">
            <v>Financial Profile as of June 30, 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Financial Profile as of June 30, 2023</v>
          </cell>
        </row>
      </sheetData>
      <sheetData sheetId="19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20">
        <row r="2">
          <cell r="A2" t="str">
            <v>Financial Profile as of June 30, 2023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58">
          <cell r="D158">
            <v>400748.71414</v>
          </cell>
          <cell r="E158">
            <v>414873.36614</v>
          </cell>
          <cell r="F158">
            <v>-14124.652000000002</v>
          </cell>
          <cell r="I158">
            <v>-2.0000000000000004</v>
          </cell>
          <cell r="K158">
            <v>169709.59646</v>
          </cell>
        </row>
        <row r="159">
          <cell r="D159">
            <v>523498.60732999997</v>
          </cell>
          <cell r="E159">
            <v>523498.63359999994</v>
          </cell>
          <cell r="F159">
            <v>-2.6269999973010272E-2</v>
          </cell>
          <cell r="I159">
            <v>-2.5325671528459974E-6</v>
          </cell>
          <cell r="K159">
            <v>173619.32225999999</v>
          </cell>
        </row>
        <row r="160">
          <cell r="D160">
            <v>55171.620999999999</v>
          </cell>
          <cell r="E160">
            <v>64608.218999999997</v>
          </cell>
          <cell r="F160">
            <v>-9436.5979999999981</v>
          </cell>
          <cell r="I160">
            <v>-3.8791289695760884</v>
          </cell>
          <cell r="K160">
            <v>67543.697569999989</v>
          </cell>
        </row>
        <row r="161">
          <cell r="D161">
            <v>133035.83618000001</v>
          </cell>
          <cell r="E161">
            <v>143289.75658000002</v>
          </cell>
          <cell r="F161">
            <v>-10253.920400000003</v>
          </cell>
          <cell r="I161">
            <v>-2.0100614412373958</v>
          </cell>
          <cell r="K161">
            <v>109585.44852999999</v>
          </cell>
        </row>
        <row r="162">
          <cell r="D162">
            <v>282905.75874999998</v>
          </cell>
          <cell r="E162">
            <v>286784.90697000001</v>
          </cell>
          <cell r="F162">
            <v>-3879.1482200000319</v>
          </cell>
          <cell r="I162">
            <v>-0.615578543964027</v>
          </cell>
          <cell r="K162">
            <v>134670.93555000002</v>
          </cell>
        </row>
        <row r="163">
          <cell r="D163">
            <v>118918.58851</v>
          </cell>
          <cell r="E163">
            <v>118371.86751000001</v>
          </cell>
          <cell r="F163">
            <v>546.72099999999045</v>
          </cell>
          <cell r="I163">
            <v>0.18938520586665966</v>
          </cell>
          <cell r="K163">
            <v>93535.73371</v>
          </cell>
        </row>
        <row r="164">
          <cell r="D164">
            <v>113035.71</v>
          </cell>
          <cell r="E164">
            <v>113035.71057</v>
          </cell>
          <cell r="F164">
            <v>-5.6999998923856765E-4</v>
          </cell>
          <cell r="I164">
            <v>-2.2547735504715945E-6</v>
          </cell>
          <cell r="K164">
            <v>725.49057999999991</v>
          </cell>
        </row>
        <row r="165">
          <cell r="I165">
            <v>-1.079546335449779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1045123.6998099999</v>
          </cell>
        </row>
        <row r="158">
          <cell r="D158">
            <v>367516.40814000001</v>
          </cell>
          <cell r="E158">
            <v>384600.71854999999</v>
          </cell>
          <cell r="F158">
            <v>-17084.310409999976</v>
          </cell>
          <cell r="I158">
            <v>-1.896090954998066</v>
          </cell>
          <cell r="K158">
            <v>190428.75305</v>
          </cell>
        </row>
        <row r="159">
          <cell r="D159">
            <v>482007.11132999999</v>
          </cell>
          <cell r="E159">
            <v>482320.28759999998</v>
          </cell>
          <cell r="F159">
            <v>-313.17626999999629</v>
          </cell>
          <cell r="I159">
            <v>-3.0191851361541296E-2</v>
          </cell>
          <cell r="K159">
            <v>200279.14225999999</v>
          </cell>
        </row>
        <row r="160">
          <cell r="D160">
            <v>45440.985000000001</v>
          </cell>
          <cell r="E160">
            <v>51032.347000000002</v>
          </cell>
          <cell r="F160">
            <v>-5591.362000000001</v>
          </cell>
          <cell r="I160">
            <v>-2.2984569559482035</v>
          </cell>
          <cell r="K160">
            <v>76221.127569999997</v>
          </cell>
        </row>
        <row r="161">
          <cell r="D161">
            <v>112953.52618</v>
          </cell>
          <cell r="E161">
            <v>119606.13357999999</v>
          </cell>
          <cell r="F161">
            <v>-6652.6073999999935</v>
          </cell>
          <cell r="I161">
            <v>-1.6357791309671763</v>
          </cell>
          <cell r="K161">
            <v>121614.09568000001</v>
          </cell>
        </row>
        <row r="162">
          <cell r="D162">
            <v>262968.50075000001</v>
          </cell>
          <cell r="E162">
            <v>266847.64896999998</v>
          </cell>
          <cell r="F162">
            <v>-3879.1482199999737</v>
          </cell>
          <cell r="I162">
            <v>-1.0578536345387533</v>
          </cell>
          <cell r="K162">
            <v>149360.00435</v>
          </cell>
        </row>
        <row r="163">
          <cell r="D163">
            <v>109283.98498000001</v>
          </cell>
          <cell r="E163">
            <v>110010.62</v>
          </cell>
          <cell r="F163">
            <v>-726.63501999998698</v>
          </cell>
          <cell r="I163">
            <v>-0.34897733341529225</v>
          </cell>
          <cell r="K163">
            <v>64227.929939999995</v>
          </cell>
        </row>
        <row r="164">
          <cell r="D164">
            <v>112024.522</v>
          </cell>
          <cell r="E164">
            <v>112277.31956999999</v>
          </cell>
          <cell r="F164">
            <v>-252.79756999999518</v>
          </cell>
          <cell r="I164">
            <v>-1.0000022547735741</v>
          </cell>
          <cell r="K164">
            <v>1367.6845800000001</v>
          </cell>
        </row>
        <row r="165">
          <cell r="I165">
            <v>-1.0820238733101419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  <cell r="B67">
            <v>231426.13512865102</v>
          </cell>
          <cell r="C67">
            <v>218675.43400000001</v>
          </cell>
          <cell r="D67">
            <v>12750.70112865101</v>
          </cell>
          <cell r="E67">
            <v>5.83087953475881</v>
          </cell>
          <cell r="G67">
            <v>134229.41099058316</v>
          </cell>
          <cell r="H67">
            <v>131387.08222000001</v>
          </cell>
          <cell r="I67">
            <v>2842.3287705831463</v>
          </cell>
          <cell r="J67">
            <v>2.1633243714354142</v>
          </cell>
          <cell r="L67">
            <v>12978.177989999998</v>
          </cell>
          <cell r="M67">
            <v>7348.2598500000004</v>
          </cell>
          <cell r="N67">
            <v>5629.9181399999979</v>
          </cell>
          <cell r="O67">
            <v>76.615664863838447</v>
          </cell>
          <cell r="Q67">
            <v>33281.635999999999</v>
          </cell>
          <cell r="R67">
            <v>15211.369000000001</v>
          </cell>
          <cell r="S67">
            <v>18070.267</v>
          </cell>
          <cell r="T67">
            <v>118.79448194307822</v>
          </cell>
          <cell r="V67">
            <v>95620.063330000004</v>
          </cell>
          <cell r="W67">
            <v>55594.097999999998</v>
          </cell>
          <cell r="X67">
            <v>40025.965330000006</v>
          </cell>
          <cell r="Y67">
            <v>71.996788813805395</v>
          </cell>
          <cell r="AA67">
            <v>42418.684999999998</v>
          </cell>
          <cell r="AB67">
            <v>42142.459000000003</v>
          </cell>
          <cell r="AC67">
            <v>276.22599999999511</v>
          </cell>
          <cell r="AD67">
            <v>0.65545771783273277</v>
          </cell>
          <cell r="AF67">
            <v>58251.1148997446</v>
          </cell>
          <cell r="AG67">
            <v>56117.063540000003</v>
          </cell>
          <cell r="AH67">
            <v>2134.051359744597</v>
          </cell>
          <cell r="AI67">
            <v>3.8028564310451749</v>
          </cell>
        </row>
        <row r="68">
          <cell r="A68" t="str">
            <v xml:space="preserve">  MWH Sales</v>
          </cell>
          <cell r="B68">
            <v>207242.08486999999</v>
          </cell>
          <cell r="C68">
            <v>196591.677</v>
          </cell>
          <cell r="D68">
            <v>10650.407869999995</v>
          </cell>
          <cell r="E68">
            <v>5.4175273503567478</v>
          </cell>
          <cell r="G68">
            <v>120402.394</v>
          </cell>
          <cell r="H68">
            <v>119184.711</v>
          </cell>
          <cell r="I68">
            <v>1217.6830000000045</v>
          </cell>
          <cell r="J68">
            <v>1.0216771847523334</v>
          </cell>
          <cell r="L68">
            <v>12618.172919999999</v>
          </cell>
          <cell r="M68">
            <v>7222.1029600000002</v>
          </cell>
          <cell r="N68">
            <v>5396.0699599999989</v>
          </cell>
          <cell r="O68">
            <v>74.716048634122473</v>
          </cell>
          <cell r="Q68">
            <v>30453.294190000001</v>
          </cell>
          <cell r="R68">
            <v>14292.281800000001</v>
          </cell>
          <cell r="S68">
            <v>16161.01239</v>
          </cell>
          <cell r="T68">
            <v>113.0751031651223</v>
          </cell>
          <cell r="V68">
            <v>86602.196400000001</v>
          </cell>
          <cell r="W68">
            <v>49093.32043</v>
          </cell>
          <cell r="X68">
            <v>37508.875970000001</v>
          </cell>
          <cell r="Y68">
            <v>76.403216652420681</v>
          </cell>
          <cell r="AA68">
            <v>37934.400000000001</v>
          </cell>
          <cell r="AB68">
            <v>37671.845999999998</v>
          </cell>
          <cell r="AC68">
            <v>262.55400000000373</v>
          </cell>
          <cell r="AD68">
            <v>0.69695018396497943</v>
          </cell>
          <cell r="AF68">
            <v>51782.762140000006</v>
          </cell>
          <cell r="AG68">
            <v>50035.830959999999</v>
          </cell>
          <cell r="AH68">
            <v>1746.9311800000069</v>
          </cell>
          <cell r="AI68">
            <v>3.4913603841146377</v>
          </cell>
        </row>
        <row r="69">
          <cell r="A69" t="str">
            <v xml:space="preserve">  MWH Coop Consumption</v>
          </cell>
          <cell r="B69">
            <v>352.83575999999999</v>
          </cell>
          <cell r="C69">
            <v>331.33</v>
          </cell>
          <cell r="D69">
            <v>21.505760000000009</v>
          </cell>
          <cell r="E69">
            <v>6.490737331361486</v>
          </cell>
          <cell r="G69">
            <v>184.953</v>
          </cell>
          <cell r="H69">
            <v>171.59899999999999</v>
          </cell>
          <cell r="I69">
            <v>13.354000000000013</v>
          </cell>
          <cell r="J69">
            <v>7.7820966322647651</v>
          </cell>
          <cell r="L69">
            <v>44.134</v>
          </cell>
          <cell r="M69">
            <v>36.902999999999999</v>
          </cell>
          <cell r="N69">
            <v>7.2310000000000016</v>
          </cell>
          <cell r="Q69">
            <v>0</v>
          </cell>
          <cell r="R69">
            <v>0</v>
          </cell>
          <cell r="S69">
            <v>0</v>
          </cell>
          <cell r="V69">
            <v>89.884399999999999</v>
          </cell>
          <cell r="W69">
            <v>81.063199999999995</v>
          </cell>
          <cell r="X69">
            <v>8.8212000000000046</v>
          </cell>
          <cell r="Y69">
            <v>10.881879817229033</v>
          </cell>
          <cell r="AA69">
            <v>105.00700000000001</v>
          </cell>
          <cell r="AB69">
            <v>102.21339999999999</v>
          </cell>
          <cell r="AC69">
            <v>2.7936000000000121</v>
          </cell>
          <cell r="AD69">
            <v>2.7331054441002962</v>
          </cell>
          <cell r="AF69">
            <v>106.87629999999999</v>
          </cell>
          <cell r="AG69">
            <v>99.738200000000006</v>
          </cell>
          <cell r="AH69">
            <v>7.1380999999999801</v>
          </cell>
          <cell r="AI69">
            <v>7.1568365982141042</v>
          </cell>
        </row>
        <row r="70">
          <cell r="A70" t="str">
            <v xml:space="preserve">  Systems Loss (%)</v>
          </cell>
          <cell r="B70">
            <v>10.297546768174271</v>
          </cell>
          <cell r="C70">
            <v>9.9473574155567963</v>
          </cell>
          <cell r="E70">
            <v>0.35018935261747508</v>
          </cell>
          <cell r="G70">
            <v>10.163245066716573</v>
          </cell>
          <cell r="H70">
            <v>9.1567390162871476</v>
          </cell>
          <cell r="J70">
            <v>1.0065060504294259</v>
          </cell>
          <cell r="L70">
            <v>2.4338629832584018</v>
          </cell>
          <cell r="M70">
            <v>1.2146262084076982</v>
          </cell>
          <cell r="O70">
            <v>1.2192367748507036</v>
          </cell>
          <cell r="Q70">
            <v>8.4982054668225988</v>
          </cell>
          <cell r="R70">
            <v>6.0421070582141549</v>
          </cell>
          <cell r="T70">
            <v>2.4560984086084439</v>
          </cell>
          <cell r="V70">
            <v>9.3369343410578161</v>
          </cell>
          <cell r="W70">
            <v>11.54</v>
          </cell>
          <cell r="Y70">
            <v>-2.2030656589421831</v>
          </cell>
          <cell r="AA70">
            <v>10.323936255921176</v>
          </cell>
          <cell r="AB70">
            <v>10.36</v>
          </cell>
          <cell r="AD70">
            <v>-3.6063744078823845E-2</v>
          </cell>
          <cell r="AF70">
            <v>10.920780607707279</v>
          </cell>
          <cell r="AG70">
            <v>10.65</v>
          </cell>
          <cell r="AH70" t="str">
            <v xml:space="preserve"> </v>
          </cell>
          <cell r="AI70">
            <v>0.27078060770727852</v>
          </cell>
        </row>
        <row r="71">
          <cell r="A71" t="str">
            <v xml:space="preserve">  Average Systems Rate (P)</v>
          </cell>
          <cell r="B71">
            <v>12.148102603988072</v>
          </cell>
          <cell r="C71">
            <v>11.460593931312456</v>
          </cell>
          <cell r="D71">
            <v>0.68750867267561588</v>
          </cell>
          <cell r="E71">
            <v>5.9988921760609228</v>
          </cell>
          <cell r="G71">
            <v>17.700424940188793</v>
          </cell>
          <cell r="H71">
            <v>13.479911949104324</v>
          </cell>
          <cell r="I71">
            <v>4.220512991084469</v>
          </cell>
          <cell r="J71">
            <v>0.31309648067581791</v>
          </cell>
          <cell r="L71">
            <v>9.2808566458283259</v>
          </cell>
          <cell r="M71">
            <v>8.5571633846681667</v>
          </cell>
          <cell r="N71">
            <v>0.7236932611601592</v>
          </cell>
          <cell r="O71">
            <v>8.4571630647697731</v>
          </cell>
          <cell r="Q71">
            <v>9.4337474247478124</v>
          </cell>
          <cell r="R71">
            <v>8.7603859511082405</v>
          </cell>
          <cell r="S71">
            <v>0.67336147363957188</v>
          </cell>
          <cell r="T71">
            <v>7.6864361615755952</v>
          </cell>
          <cell r="V71">
            <v>16.943961540487098</v>
          </cell>
          <cell r="W71">
            <v>16.26785528292752</v>
          </cell>
          <cell r="X71">
            <v>0.67610625755957798</v>
          </cell>
          <cell r="Y71">
            <v>4.1560872395338126</v>
          </cell>
          <cell r="AA71">
            <v>15.131370005321061</v>
          </cell>
          <cell r="AB71">
            <v>12.951912376936646</v>
          </cell>
          <cell r="AC71">
            <v>2.1794576283844158</v>
          </cell>
          <cell r="AD71">
            <v>16.827303682700606</v>
          </cell>
          <cell r="AF71">
            <v>17.873314211321762</v>
          </cell>
          <cell r="AG71">
            <v>14.653442501778512</v>
          </cell>
          <cell r="AH71">
            <v>3.2198717095432503</v>
          </cell>
          <cell r="AI71">
            <v>21.973483085305375</v>
          </cell>
        </row>
        <row r="72">
          <cell r="A72" t="str">
            <v xml:space="preserve">  Average Power Cost (P)</v>
          </cell>
          <cell r="B72">
            <v>8.6001160329345971</v>
          </cell>
          <cell r="C72">
            <v>8.2693153617337742</v>
          </cell>
          <cell r="D72">
            <v>0.3308006712008229</v>
          </cell>
          <cell r="E72">
            <v>4.0003392872353345</v>
          </cell>
          <cell r="G72">
            <v>11.374913233710872</v>
          </cell>
          <cell r="H72">
            <v>9.5039192241071149</v>
          </cell>
          <cell r="I72">
            <v>1.8709940096037574</v>
          </cell>
          <cell r="J72">
            <v>0.19686552100084118</v>
          </cell>
          <cell r="L72">
            <v>5.792336021891777</v>
          </cell>
          <cell r="M72">
            <v>5.1841148200549823</v>
          </cell>
          <cell r="N72">
            <v>0.60822120183679473</v>
          </cell>
          <cell r="O72">
            <v>11.732402212309486</v>
          </cell>
          <cell r="Q72">
            <v>5.094204610314228</v>
          </cell>
          <cell r="R72">
            <v>4.4877673949004855</v>
          </cell>
          <cell r="S72">
            <v>0.60643721541374251</v>
          </cell>
          <cell r="T72">
            <v>13.513116034107423</v>
          </cell>
          <cell r="V72">
            <v>11.751312490581258</v>
          </cell>
          <cell r="W72">
            <v>13.195550191317073</v>
          </cell>
          <cell r="X72">
            <v>-1.4442377007358154</v>
          </cell>
          <cell r="Y72">
            <v>-10.94488429657258</v>
          </cell>
          <cell r="AA72">
            <v>9.5188597336291796</v>
          </cell>
          <cell r="AB72">
            <v>8.6337536551913097</v>
          </cell>
          <cell r="AC72">
            <v>0.88510607843786993</v>
          </cell>
          <cell r="AD72">
            <v>10.251694845447352</v>
          </cell>
          <cell r="AF72">
            <v>11.923074220044589</v>
          </cell>
          <cell r="AG72">
            <v>10.015042516959181</v>
          </cell>
          <cell r="AH72">
            <v>1.9080317030854079</v>
          </cell>
          <cell r="AI72">
            <v>19.051658541183453</v>
          </cell>
        </row>
        <row r="73">
          <cell r="A73" t="str">
            <v xml:space="preserve">  Average Collection Period</v>
          </cell>
          <cell r="E73">
            <v>0</v>
          </cell>
          <cell r="J73">
            <v>0</v>
          </cell>
          <cell r="O73" t="e">
            <v>#DIV/0!</v>
          </cell>
          <cell r="T73">
            <v>-1</v>
          </cell>
          <cell r="Y73">
            <v>0</v>
          </cell>
          <cell r="AD73">
            <v>0</v>
          </cell>
          <cell r="AI73">
            <v>0</v>
          </cell>
        </row>
        <row r="74">
          <cell r="A74" t="str">
            <v xml:space="preserve">  Collection Efficiency (%)</v>
          </cell>
          <cell r="B74">
            <v>98.05</v>
          </cell>
          <cell r="C74">
            <v>97.86</v>
          </cell>
          <cell r="E74">
            <v>0.18999999999999773</v>
          </cell>
          <cell r="G74">
            <v>95.65</v>
          </cell>
          <cell r="H74">
            <v>95.07</v>
          </cell>
          <cell r="J74">
            <v>0.58000000000001251</v>
          </cell>
          <cell r="L74">
            <v>100</v>
          </cell>
          <cell r="M74">
            <v>98.44</v>
          </cell>
          <cell r="O74">
            <v>1.5600000000000023</v>
          </cell>
          <cell r="Q74">
            <v>100</v>
          </cell>
          <cell r="R74">
            <v>100</v>
          </cell>
          <cell r="T74">
            <v>0</v>
          </cell>
          <cell r="V74">
            <v>96.51</v>
          </cell>
          <cell r="W74">
            <v>94.28</v>
          </cell>
          <cell r="Y74">
            <v>2.230000000000004</v>
          </cell>
          <cell r="AA74">
            <v>98.65</v>
          </cell>
          <cell r="AB74">
            <v>98.65</v>
          </cell>
          <cell r="AD74">
            <v>0</v>
          </cell>
          <cell r="AF74">
            <v>98.66</v>
          </cell>
          <cell r="AG74">
            <v>98.92</v>
          </cell>
          <cell r="AI74">
            <v>-0.26000000000000512</v>
          </cell>
        </row>
        <row r="75">
          <cell r="A75" t="str">
            <v xml:space="preserve">  Number of Consumers</v>
          </cell>
          <cell r="B75">
            <v>168446</v>
          </cell>
          <cell r="C75">
            <v>163769</v>
          </cell>
          <cell r="D75">
            <v>4677</v>
          </cell>
          <cell r="E75">
            <v>2.8558518400918365</v>
          </cell>
          <cell r="G75">
            <v>148741</v>
          </cell>
          <cell r="H75">
            <v>147857</v>
          </cell>
          <cell r="I75">
            <v>884</v>
          </cell>
          <cell r="J75">
            <v>0.5978749737922453</v>
          </cell>
          <cell r="L75">
            <v>28634</v>
          </cell>
          <cell r="M75">
            <v>22123</v>
          </cell>
          <cell r="N75">
            <v>6511</v>
          </cell>
          <cell r="O75">
            <v>29.430909008723955</v>
          </cell>
          <cell r="Q75">
            <v>34776</v>
          </cell>
          <cell r="R75">
            <v>28781</v>
          </cell>
          <cell r="S75">
            <v>5995</v>
          </cell>
          <cell r="V75">
            <v>80076</v>
          </cell>
          <cell r="W75">
            <v>74863</v>
          </cell>
          <cell r="X75">
            <v>5213</v>
          </cell>
          <cell r="Y75">
            <v>6.9633864525867253</v>
          </cell>
          <cell r="AA75">
            <v>63765</v>
          </cell>
          <cell r="AB75">
            <v>64014</v>
          </cell>
          <cell r="AC75">
            <v>-249</v>
          </cell>
          <cell r="AD75">
            <v>-0.38897741119130191</v>
          </cell>
          <cell r="AF75">
            <v>79776</v>
          </cell>
          <cell r="AG75">
            <v>78353</v>
          </cell>
          <cell r="AH75">
            <v>1423</v>
          </cell>
          <cell r="AI75">
            <v>1.8161397776728396</v>
          </cell>
        </row>
        <row r="76">
          <cell r="A76" t="str">
            <v xml:space="preserve">  Number of Employees-Actual</v>
          </cell>
          <cell r="B76">
            <v>120</v>
          </cell>
          <cell r="C76">
            <v>125</v>
          </cell>
          <cell r="D76">
            <v>-5</v>
          </cell>
          <cell r="E76">
            <v>-4</v>
          </cell>
          <cell r="G76">
            <v>235</v>
          </cell>
          <cell r="H76">
            <v>239</v>
          </cell>
          <cell r="I76">
            <v>-4</v>
          </cell>
          <cell r="J76">
            <v>-4</v>
          </cell>
          <cell r="L76">
            <v>38</v>
          </cell>
          <cell r="M76">
            <v>38</v>
          </cell>
          <cell r="N76">
            <v>0</v>
          </cell>
          <cell r="O76">
            <v>0</v>
          </cell>
          <cell r="Q76">
            <v>87</v>
          </cell>
          <cell r="R76">
            <v>87</v>
          </cell>
          <cell r="S76">
            <v>0</v>
          </cell>
          <cell r="T76">
            <v>0</v>
          </cell>
          <cell r="V76">
            <v>148</v>
          </cell>
          <cell r="W76">
            <v>149</v>
          </cell>
          <cell r="X76">
            <v>-1</v>
          </cell>
          <cell r="Y76">
            <v>-0.67114093959731547</v>
          </cell>
          <cell r="AA76">
            <v>125</v>
          </cell>
          <cell r="AB76">
            <v>138</v>
          </cell>
          <cell r="AC76">
            <v>-13</v>
          </cell>
          <cell r="AD76">
            <v>-9.4202898550724647</v>
          </cell>
          <cell r="AF76">
            <v>160</v>
          </cell>
          <cell r="AG76">
            <v>158</v>
          </cell>
          <cell r="AH76">
            <v>2</v>
          </cell>
          <cell r="AI76">
            <v>1.2658227848101267</v>
          </cell>
        </row>
        <row r="77">
          <cell r="A77" t="str">
            <v xml:space="preserve">  No. of Consumers per Employee</v>
          </cell>
          <cell r="B77">
            <v>1403.7166666666667</v>
          </cell>
          <cell r="C77">
            <v>1310.152</v>
          </cell>
          <cell r="D77">
            <v>93.564666666666653</v>
          </cell>
          <cell r="E77">
            <v>7.1415123334289952</v>
          </cell>
          <cell r="G77">
            <v>632.94042553191491</v>
          </cell>
          <cell r="H77">
            <v>618.64853556485355</v>
          </cell>
          <cell r="I77">
            <v>14.291889967061365</v>
          </cell>
          <cell r="J77">
            <v>2.3101792286653091</v>
          </cell>
          <cell r="L77">
            <v>753.52631578947364</v>
          </cell>
          <cell r="M77">
            <v>582.18421052631584</v>
          </cell>
          <cell r="N77">
            <v>171.3421052631578</v>
          </cell>
          <cell r="O77">
            <v>29.430909008723933</v>
          </cell>
          <cell r="Q77">
            <v>399.72413793103448</v>
          </cell>
          <cell r="R77">
            <v>330.81609195402297</v>
          </cell>
          <cell r="S77">
            <v>68.908045977011511</v>
          </cell>
          <cell r="V77">
            <v>541.05405405405406</v>
          </cell>
          <cell r="W77">
            <v>502.43624161073825</v>
          </cell>
          <cell r="X77">
            <v>38.617812443315813</v>
          </cell>
          <cell r="Y77">
            <v>7.6861120367258273</v>
          </cell>
          <cell r="AA77">
            <v>510.12</v>
          </cell>
          <cell r="AB77">
            <v>463.86956521739131</v>
          </cell>
          <cell r="AC77">
            <v>46.250434782608693</v>
          </cell>
          <cell r="AD77">
            <v>9.9705689380448028</v>
          </cell>
          <cell r="AF77">
            <v>498.6</v>
          </cell>
          <cell r="AG77">
            <v>495.90506329113924</v>
          </cell>
          <cell r="AH77">
            <v>2.6949367088607801</v>
          </cell>
          <cell r="AI77">
            <v>0.54343803045193328</v>
          </cell>
        </row>
        <row r="78">
          <cell r="A78" t="str">
            <v xml:space="preserve">  Non-Power Cost/Consumer</v>
          </cell>
          <cell r="B78">
            <v>955.7178258907901</v>
          </cell>
          <cell r="C78">
            <v>873.17709010862859</v>
          </cell>
          <cell r="D78">
            <v>82.540735782161505</v>
          </cell>
          <cell r="E78">
            <v>9.452920457623657</v>
          </cell>
          <cell r="G78">
            <v>810.68854155881695</v>
          </cell>
          <cell r="H78">
            <v>843.24292782891587</v>
          </cell>
          <cell r="I78">
            <v>-32.554386270098917</v>
          </cell>
          <cell r="J78">
            <v>-3.8606177645528761</v>
          </cell>
          <cell r="L78">
            <v>904.35286547461067</v>
          </cell>
          <cell r="M78">
            <v>1258.3806341816207</v>
          </cell>
          <cell r="N78">
            <v>-354.02776870701007</v>
          </cell>
          <cell r="O78">
            <v>-28.133599571583488</v>
          </cell>
          <cell r="Q78">
            <v>1445.4085018403498</v>
          </cell>
          <cell r="R78">
            <v>1275.9274639519128</v>
          </cell>
          <cell r="S78">
            <v>169.48103788843696</v>
          </cell>
          <cell r="T78">
            <v>13.282968090012393</v>
          </cell>
          <cell r="V78">
            <v>899.3567403466709</v>
          </cell>
          <cell r="W78">
            <v>866.08012048675585</v>
          </cell>
          <cell r="X78">
            <v>33.276619859915058</v>
          </cell>
          <cell r="Y78">
            <v>3.8422103305191762</v>
          </cell>
          <cell r="AA78">
            <v>1087.2336121696856</v>
          </cell>
          <cell r="AB78">
            <v>649.54421704627123</v>
          </cell>
          <cell r="AC78">
            <v>437.68939512341433</v>
          </cell>
          <cell r="AD78">
            <v>67.384080042118967</v>
          </cell>
          <cell r="AF78">
            <v>971.0204592860008</v>
          </cell>
          <cell r="AG78">
            <v>1020.6959524204563</v>
          </cell>
          <cell r="AH78">
            <v>-49.675493134455451</v>
          </cell>
          <cell r="AI78">
            <v>-4.8668257199076832</v>
          </cell>
        </row>
        <row r="79">
          <cell r="A79" t="str">
            <v xml:space="preserve">  Peak Load</v>
          </cell>
          <cell r="B79">
            <v>84723</v>
          </cell>
          <cell r="C79">
            <v>75924.34</v>
          </cell>
          <cell r="D79">
            <v>8798.6600000000035</v>
          </cell>
          <cell r="E79">
            <v>11.588721087335108</v>
          </cell>
          <cell r="G79">
            <v>48022.589000000007</v>
          </cell>
          <cell r="H79">
            <v>44535.4</v>
          </cell>
          <cell r="I79">
            <v>3487.1890000000058</v>
          </cell>
          <cell r="J79">
            <v>7.8301508462930745</v>
          </cell>
          <cell r="L79">
            <v>5473</v>
          </cell>
          <cell r="M79">
            <v>4053</v>
          </cell>
          <cell r="N79">
            <v>1420</v>
          </cell>
          <cell r="O79">
            <v>35.035775968418456</v>
          </cell>
          <cell r="Q79">
            <v>11623</v>
          </cell>
          <cell r="R79">
            <v>7811</v>
          </cell>
          <cell r="S79">
            <v>3812</v>
          </cell>
          <cell r="T79">
            <v>48.802970170272694</v>
          </cell>
          <cell r="V79">
            <v>34054.06</v>
          </cell>
          <cell r="W79">
            <v>25380.49</v>
          </cell>
          <cell r="X79">
            <v>8673.5699999999961</v>
          </cell>
          <cell r="Y79">
            <v>34.174162910172321</v>
          </cell>
          <cell r="AA79">
            <v>14642.039758697962</v>
          </cell>
          <cell r="AB79">
            <v>14086.8</v>
          </cell>
          <cell r="AC79">
            <v>555.23975869796232</v>
          </cell>
          <cell r="AD79">
            <v>3.9415606006897406</v>
          </cell>
          <cell r="AF79">
            <v>21005.811000000002</v>
          </cell>
          <cell r="AG79">
            <v>18814.41</v>
          </cell>
          <cell r="AH79">
            <v>2191.4010000000017</v>
          </cell>
          <cell r="AI79">
            <v>11.647460643198492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"/>
    </sheetNames>
    <sheetDataSet>
      <sheetData sheetId="0" refreshError="1">
        <row r="13">
          <cell r="I13">
            <v>0</v>
          </cell>
        </row>
        <row r="159">
          <cell r="I15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7">
          <cell r="AH97" t="str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U100"/>
  <sheetViews>
    <sheetView tabSelected="1" zoomScale="70" zoomScaleNormal="70" workbookViewId="0">
      <pane xSplit="1" ySplit="10" topLeftCell="B69" activePane="bottomRight" state="frozen"/>
      <selection activeCell="C83" sqref="C83"/>
      <selection pane="topRight" activeCell="C83" sqref="C83"/>
      <selection pane="bottomLeft" activeCell="C83" sqref="C83"/>
      <selection pane="bottomRight" activeCell="A83" sqref="A83"/>
    </sheetView>
  </sheetViews>
  <sheetFormatPr defaultColWidth="12.5546875" defaultRowHeight="15" x14ac:dyDescent="0.25"/>
  <cols>
    <col min="1" max="1" width="48.33203125" style="2" customWidth="1"/>
    <col min="2" max="3" width="16.109375" style="2" customWidth="1"/>
    <col min="4" max="4" width="13.88671875" style="2" customWidth="1"/>
    <col min="5" max="5" width="10.5546875" style="2" bestFit="1" customWidth="1"/>
    <col min="6" max="6" width="0.5546875" style="2" customWidth="1"/>
    <col min="7" max="8" width="16.109375" style="2" customWidth="1"/>
    <col min="9" max="9" width="15.33203125" style="2" customWidth="1"/>
    <col min="10" max="10" width="12.5546875" style="2" customWidth="1"/>
    <col min="11" max="11" width="1.44140625" style="2" customWidth="1"/>
    <col min="12" max="13" width="13.88671875" style="2" customWidth="1"/>
    <col min="14" max="14" width="17" style="2" customWidth="1"/>
    <col min="15" max="15" width="12" style="2" customWidth="1"/>
    <col min="16" max="16" width="1.33203125" style="2" customWidth="1"/>
    <col min="17" max="18" width="14.33203125" style="2" customWidth="1"/>
    <col min="19" max="19" width="17.6640625" style="2" customWidth="1"/>
    <col min="20" max="20" width="12.33203125" style="2" customWidth="1"/>
    <col min="21" max="21" width="1.44140625" style="2" customWidth="1"/>
    <col min="22" max="22" width="16.109375" style="2" bestFit="1" customWidth="1"/>
    <col min="23" max="23" width="15.88671875" style="2" customWidth="1"/>
    <col min="24" max="24" width="17.5546875" style="2" customWidth="1"/>
    <col min="25" max="25" width="12.33203125" style="2" customWidth="1"/>
    <col min="26" max="26" width="1.5546875" style="2" customWidth="1"/>
    <col min="27" max="27" width="16.5546875" style="2" customWidth="1"/>
    <col min="28" max="28" width="17.33203125" style="2" customWidth="1"/>
    <col min="29" max="29" width="19.109375" style="2" customWidth="1"/>
    <col min="30" max="30" width="12.109375" style="2" customWidth="1"/>
    <col min="31" max="31" width="1.33203125" style="2" customWidth="1"/>
    <col min="32" max="33" width="14.33203125" style="2" customWidth="1"/>
    <col min="34" max="34" width="17.33203125" style="2" customWidth="1"/>
    <col min="35" max="35" width="14" style="2" customWidth="1"/>
    <col min="36" max="36" width="1.44140625" style="2" customWidth="1"/>
    <col min="37" max="38" width="16.109375" style="2" customWidth="1"/>
    <col min="39" max="39" width="17.33203125" style="2" customWidth="1"/>
    <col min="40" max="40" width="11.5546875" style="2" bestFit="1" customWidth="1"/>
    <col min="41" max="49" width="14.109375" style="2" customWidth="1"/>
    <col min="50" max="16384" width="12.5546875" style="2"/>
  </cols>
  <sheetData>
    <row r="1" spans="1:40" ht="15" customHeight="1" x14ac:dyDescent="0.3">
      <c r="A1" s="1" t="s">
        <v>0</v>
      </c>
    </row>
    <row r="2" spans="1:40" ht="15" customHeight="1" x14ac:dyDescent="0.3">
      <c r="A2" s="1" t="str">
        <f>[4]REG10!A2</f>
        <v>Financial Profile as of June 30, 2023</v>
      </c>
    </row>
    <row r="3" spans="1:40" ht="15" customHeight="1" x14ac:dyDescent="0.3">
      <c r="A3" s="1" t="str">
        <f>[4]REG10!A3</f>
        <v>With Comparative Figures as of June 30, 2022</v>
      </c>
    </row>
    <row r="4" spans="1:40" ht="15" customHeight="1" x14ac:dyDescent="0.3">
      <c r="A4" s="3" t="s">
        <v>1</v>
      </c>
    </row>
    <row r="5" spans="1:40" ht="15.6" x14ac:dyDescent="0.3">
      <c r="B5" s="24"/>
      <c r="C5" s="24"/>
      <c r="D5" s="24"/>
      <c r="E5" s="24"/>
      <c r="F5" s="24"/>
      <c r="G5" s="24"/>
      <c r="H5" s="24"/>
      <c r="I5" s="24"/>
      <c r="J5" s="24"/>
      <c r="K5" s="4"/>
      <c r="L5" s="24"/>
      <c r="M5" s="24"/>
      <c r="N5" s="24"/>
      <c r="O5" s="24"/>
      <c r="P5" s="5"/>
      <c r="Q5" s="24"/>
      <c r="R5" s="24"/>
      <c r="S5" s="24"/>
      <c r="T5" s="24"/>
      <c r="U5" s="4"/>
      <c r="V5" s="24"/>
      <c r="W5" s="24"/>
      <c r="X5" s="24"/>
      <c r="Y5" s="24"/>
      <c r="Z5" s="5"/>
      <c r="AA5" s="24"/>
      <c r="AB5" s="24"/>
      <c r="AC5" s="24"/>
      <c r="AD5" s="24"/>
      <c r="AE5" s="4"/>
      <c r="AF5" s="24"/>
      <c r="AG5" s="24"/>
      <c r="AH5" s="24"/>
      <c r="AI5" s="24"/>
      <c r="AJ5" s="4"/>
      <c r="AK5" s="24"/>
      <c r="AL5" s="24"/>
      <c r="AM5" s="24"/>
      <c r="AN5" s="24"/>
    </row>
    <row r="6" spans="1:40" ht="5.25" customHeight="1" x14ac:dyDescent="0.25"/>
    <row r="7" spans="1:40" ht="15.6" x14ac:dyDescent="0.3">
      <c r="B7" s="24" t="s">
        <v>2</v>
      </c>
      <c r="C7" s="24"/>
      <c r="D7" s="24"/>
      <c r="E7" s="24"/>
      <c r="F7" s="24" t="s">
        <v>3</v>
      </c>
      <c r="G7" s="24"/>
      <c r="H7" s="24"/>
      <c r="I7" s="24"/>
      <c r="J7" s="24"/>
      <c r="K7" s="4"/>
      <c r="L7" s="24" t="s">
        <v>4</v>
      </c>
      <c r="M7" s="24"/>
      <c r="N7" s="24"/>
      <c r="O7" s="24"/>
      <c r="P7" s="5"/>
      <c r="Q7" s="24" t="s">
        <v>5</v>
      </c>
      <c r="R7" s="24"/>
      <c r="S7" s="24"/>
      <c r="T7" s="24"/>
      <c r="U7" s="4"/>
      <c r="V7" s="24" t="s">
        <v>6</v>
      </c>
      <c r="W7" s="24"/>
      <c r="X7" s="24"/>
      <c r="Y7" s="24"/>
      <c r="Z7" s="5"/>
      <c r="AA7" s="24" t="s">
        <v>7</v>
      </c>
      <c r="AB7" s="24"/>
      <c r="AC7" s="24"/>
      <c r="AD7" s="24"/>
      <c r="AE7" s="4"/>
      <c r="AF7" s="24" t="s">
        <v>8</v>
      </c>
      <c r="AG7" s="24"/>
      <c r="AH7" s="24"/>
      <c r="AI7" s="24"/>
      <c r="AJ7" s="4"/>
      <c r="AK7" s="24" t="s">
        <v>9</v>
      </c>
      <c r="AL7" s="24"/>
      <c r="AM7" s="24"/>
      <c r="AN7" s="24"/>
    </row>
    <row r="8" spans="1:40" ht="9.9" customHeight="1" x14ac:dyDescent="0.25"/>
    <row r="9" spans="1:40" ht="17.100000000000001" customHeight="1" x14ac:dyDescent="0.25">
      <c r="B9" s="6">
        <v>2023</v>
      </c>
      <c r="C9" s="6">
        <v>2022</v>
      </c>
      <c r="D9" s="25" t="s">
        <v>10</v>
      </c>
      <c r="E9" s="25"/>
      <c r="G9" s="6">
        <v>2023</v>
      </c>
      <c r="H9" s="6">
        <v>2022</v>
      </c>
      <c r="I9" s="25" t="s">
        <v>10</v>
      </c>
      <c r="J9" s="25"/>
      <c r="K9" s="6"/>
      <c r="L9" s="6">
        <v>2023</v>
      </c>
      <c r="M9" s="6">
        <v>2022</v>
      </c>
      <c r="N9" s="25" t="s">
        <v>10</v>
      </c>
      <c r="O9" s="25"/>
      <c r="Q9" s="6">
        <v>2023</v>
      </c>
      <c r="R9" s="6">
        <v>2022</v>
      </c>
      <c r="S9" s="25" t="s">
        <v>10</v>
      </c>
      <c r="T9" s="25"/>
      <c r="U9" s="6"/>
      <c r="V9" s="6">
        <v>2023</v>
      </c>
      <c r="W9" s="6">
        <v>2022</v>
      </c>
      <c r="X9" s="25" t="s">
        <v>10</v>
      </c>
      <c r="Y9" s="25"/>
      <c r="AA9" s="6">
        <v>2023</v>
      </c>
      <c r="AB9" s="6">
        <v>2022</v>
      </c>
      <c r="AC9" s="25" t="s">
        <v>10</v>
      </c>
      <c r="AD9" s="25"/>
      <c r="AE9" s="6"/>
      <c r="AF9" s="6">
        <v>2023</v>
      </c>
      <c r="AG9" s="6">
        <v>2022</v>
      </c>
      <c r="AH9" s="25" t="s">
        <v>10</v>
      </c>
      <c r="AI9" s="25"/>
      <c r="AJ9" s="6"/>
      <c r="AK9" s="6">
        <v>2023</v>
      </c>
      <c r="AL9" s="6">
        <v>2022</v>
      </c>
      <c r="AM9" s="25" t="s">
        <v>10</v>
      </c>
      <c r="AN9" s="25"/>
    </row>
    <row r="10" spans="1:40" ht="17.100000000000001" customHeight="1" x14ac:dyDescent="0.25">
      <c r="B10" s="6" t="s">
        <v>11</v>
      </c>
      <c r="C10" s="6" t="s">
        <v>11</v>
      </c>
      <c r="D10" s="6" t="s">
        <v>12</v>
      </c>
      <c r="E10" s="6" t="s">
        <v>13</v>
      </c>
      <c r="G10" s="6" t="s">
        <v>11</v>
      </c>
      <c r="H10" s="6" t="s">
        <v>11</v>
      </c>
      <c r="I10" s="6" t="s">
        <v>12</v>
      </c>
      <c r="J10" s="6" t="s">
        <v>13</v>
      </c>
      <c r="K10" s="6"/>
      <c r="L10" s="6" t="s">
        <v>11</v>
      </c>
      <c r="M10" s="6" t="s">
        <v>11</v>
      </c>
      <c r="N10" s="6" t="s">
        <v>12</v>
      </c>
      <c r="O10" s="6" t="s">
        <v>13</v>
      </c>
      <c r="Q10" s="6" t="s">
        <v>11</v>
      </c>
      <c r="R10" s="6" t="s">
        <v>11</v>
      </c>
      <c r="S10" s="6" t="s">
        <v>12</v>
      </c>
      <c r="T10" s="6" t="s">
        <v>13</v>
      </c>
      <c r="U10" s="6"/>
      <c r="V10" s="6" t="s">
        <v>11</v>
      </c>
      <c r="W10" s="6" t="s">
        <v>11</v>
      </c>
      <c r="X10" s="6" t="s">
        <v>12</v>
      </c>
      <c r="Y10" s="6" t="s">
        <v>13</v>
      </c>
      <c r="AA10" s="6" t="s">
        <v>11</v>
      </c>
      <c r="AB10" s="6" t="s">
        <v>11</v>
      </c>
      <c r="AC10" s="6" t="s">
        <v>12</v>
      </c>
      <c r="AD10" s="6" t="s">
        <v>13</v>
      </c>
      <c r="AE10" s="6"/>
      <c r="AF10" s="6" t="s">
        <v>11</v>
      </c>
      <c r="AG10" s="6" t="s">
        <v>11</v>
      </c>
      <c r="AH10" s="6" t="s">
        <v>12</v>
      </c>
      <c r="AI10" s="6" t="s">
        <v>13</v>
      </c>
      <c r="AJ10" s="6"/>
      <c r="AK10" s="6" t="s">
        <v>11</v>
      </c>
      <c r="AL10" s="6" t="s">
        <v>11</v>
      </c>
      <c r="AM10" s="6" t="s">
        <v>12</v>
      </c>
      <c r="AN10" s="6" t="s">
        <v>13</v>
      </c>
    </row>
    <row r="11" spans="1:40" ht="15" customHeight="1" x14ac:dyDescent="0.25"/>
    <row r="12" spans="1:40" ht="15.6" x14ac:dyDescent="0.3">
      <c r="A12" s="1" t="s">
        <v>14</v>
      </c>
      <c r="V12" s="7"/>
      <c r="W12" s="7"/>
    </row>
    <row r="13" spans="1:40" ht="9.9" customHeight="1" x14ac:dyDescent="0.25"/>
    <row r="14" spans="1:40" s="11" customFormat="1" ht="15" customHeight="1" x14ac:dyDescent="0.25">
      <c r="A14" s="8" t="s">
        <v>15</v>
      </c>
      <c r="B14" s="9">
        <v>2521884.3958799997</v>
      </c>
      <c r="C14" s="9">
        <v>2256854.6189600001</v>
      </c>
      <c r="D14" s="9">
        <f t="shared" ref="D14:D26" si="0">B14-C14</f>
        <v>265029.77691999963</v>
      </c>
      <c r="E14" s="9">
        <f t="shared" ref="E14:E24" si="1">D14/C14*100</f>
        <v>11.743325187784146</v>
      </c>
      <c r="F14" s="9"/>
      <c r="G14" s="9">
        <v>2134447.28431</v>
      </c>
      <c r="H14" s="9">
        <v>1608912.5493699999</v>
      </c>
      <c r="I14" s="9">
        <f t="shared" ref="I14:I24" si="2">G14-H14</f>
        <v>525534.73494000011</v>
      </c>
      <c r="J14" s="9">
        <f t="shared" ref="J14:J24" si="3">I14/H14*100</f>
        <v>32.663971397686169</v>
      </c>
      <c r="K14" s="9"/>
      <c r="L14" s="9">
        <v>117517.05533</v>
      </c>
      <c r="M14" s="9">
        <v>62116.500009999996</v>
      </c>
      <c r="N14" s="9">
        <f t="shared" ref="N14:N24" si="4">L14-M14</f>
        <v>55400.555320000007</v>
      </c>
      <c r="O14" s="9">
        <f t="shared" ref="O14:O24" si="5">N14/M14*100</f>
        <v>89.188146967522627</v>
      </c>
      <c r="P14" s="9"/>
      <c r="Q14" s="9">
        <v>287288.68564000004</v>
      </c>
      <c r="R14" s="9">
        <v>125205.90469</v>
      </c>
      <c r="S14" s="9">
        <f t="shared" ref="S14:S24" si="6">Q14-R14</f>
        <v>162082.78095000004</v>
      </c>
      <c r="T14" s="9">
        <f t="shared" ref="T14:T24" si="7">S14/R14*100</f>
        <v>129.45298494612078</v>
      </c>
      <c r="U14" s="9"/>
      <c r="V14" s="9">
        <v>1468907.2829400001</v>
      </c>
      <c r="W14" s="9">
        <v>799961.75652000005</v>
      </c>
      <c r="X14" s="9">
        <f t="shared" ref="X14:X24" si="8">V14-W14</f>
        <v>668945.52642000001</v>
      </c>
      <c r="Y14" s="9">
        <f t="shared" ref="Y14:Y24" si="9">X14/W14*100</f>
        <v>83.622188306857581</v>
      </c>
      <c r="Z14" s="9"/>
      <c r="AA14" s="9">
        <v>575588.34210000001</v>
      </c>
      <c r="AB14" s="9">
        <v>489246.30747</v>
      </c>
      <c r="AC14" s="9">
        <f t="shared" ref="AC14:AC24" si="10">AA14-AB14</f>
        <v>86342.034630000009</v>
      </c>
      <c r="AD14" s="9">
        <f t="shared" ref="AD14:AD24" si="11">AC14/AB14*100</f>
        <v>17.647968581815899</v>
      </c>
      <c r="AE14" s="9"/>
      <c r="AF14" s="9">
        <v>927439.81215000013</v>
      </c>
      <c r="AG14" s="9">
        <v>734658.67998000002</v>
      </c>
      <c r="AH14" s="9">
        <f t="shared" ref="AH14:AH24" si="12">AF14-AG14</f>
        <v>192781.13217000011</v>
      </c>
      <c r="AI14" s="9">
        <f t="shared" ref="AI14:AI24" si="13">AH14/AG14*100</f>
        <v>26.240911245375649</v>
      </c>
      <c r="AJ14" s="9"/>
      <c r="AK14" s="9">
        <f t="shared" ref="AK14:AL20" si="14">+B14+G14+L14+Q14+V14+AA14+AF14</f>
        <v>8033072.8583499994</v>
      </c>
      <c r="AL14" s="9">
        <f t="shared" si="14"/>
        <v>6076956.3169999998</v>
      </c>
      <c r="AM14" s="9">
        <f t="shared" ref="AM14:AM24" si="15">AK14-AL14</f>
        <v>1956116.5413499996</v>
      </c>
      <c r="AN14" s="9">
        <f t="shared" ref="AN14:AN24" si="16">AM14/AL14*100</f>
        <v>32.18908347058305</v>
      </c>
    </row>
    <row r="15" spans="1:40" s="11" customFormat="1" ht="15" customHeight="1" x14ac:dyDescent="0.25">
      <c r="A15" s="8" t="s">
        <v>16</v>
      </c>
      <c r="B15" s="9">
        <v>43642.157120000003</v>
      </c>
      <c r="C15" s="9">
        <v>41408.157140000003</v>
      </c>
      <c r="D15" s="9">
        <f>B15-C15</f>
        <v>2233.9999800000005</v>
      </c>
      <c r="E15" s="9">
        <f>D15/C15*100</f>
        <v>5.395072213542127</v>
      </c>
      <c r="F15" s="9"/>
      <c r="G15" s="9">
        <v>36176.144650000002</v>
      </c>
      <c r="H15" s="9">
        <v>35807.036770000006</v>
      </c>
      <c r="I15" s="9">
        <f t="shared" si="2"/>
        <v>369.10787999999593</v>
      </c>
      <c r="J15" s="9">
        <f t="shared" si="3"/>
        <v>1.0308249810530075</v>
      </c>
      <c r="K15" s="9"/>
      <c r="L15" s="9">
        <v>5064.9270099999994</v>
      </c>
      <c r="M15" s="9">
        <v>2903.2856200000001</v>
      </c>
      <c r="N15" s="9">
        <f t="shared" si="4"/>
        <v>2161.6413899999993</v>
      </c>
      <c r="O15" s="9">
        <f t="shared" si="5"/>
        <v>74.455002811607613</v>
      </c>
      <c r="P15" s="9"/>
      <c r="Q15" s="9">
        <v>16173.384310000001</v>
      </c>
      <c r="R15" s="9">
        <v>7609.1938600000003</v>
      </c>
      <c r="S15" s="9">
        <f t="shared" si="6"/>
        <v>8564.1904500000019</v>
      </c>
      <c r="T15" s="9">
        <f t="shared" si="7"/>
        <v>112.55056195926649</v>
      </c>
      <c r="U15" s="9"/>
      <c r="V15" s="9">
        <v>21742.373759999999</v>
      </c>
      <c r="W15" s="9">
        <v>12332.935569999998</v>
      </c>
      <c r="X15" s="9">
        <f t="shared" si="8"/>
        <v>9409.4381900000008</v>
      </c>
      <c r="Y15" s="9">
        <f t="shared" si="9"/>
        <v>76.295202683848956</v>
      </c>
      <c r="Z15" s="9"/>
      <c r="AA15" s="9">
        <v>15188.855670000001</v>
      </c>
      <c r="AB15" s="9">
        <v>15083.755500000001</v>
      </c>
      <c r="AC15" s="9">
        <f t="shared" si="10"/>
        <v>105.10016999999971</v>
      </c>
      <c r="AD15" s="9">
        <f t="shared" si="11"/>
        <v>0.6967772051197707</v>
      </c>
      <c r="AE15" s="9"/>
      <c r="AF15" s="9">
        <v>20733.81796</v>
      </c>
      <c r="AG15" s="9">
        <v>20034.346730000001</v>
      </c>
      <c r="AH15" s="9">
        <f t="shared" si="12"/>
        <v>699.4712299999992</v>
      </c>
      <c r="AI15" s="9">
        <f t="shared" si="13"/>
        <v>3.4913603095058301</v>
      </c>
      <c r="AJ15" s="9"/>
      <c r="AK15" s="9">
        <f t="shared" si="14"/>
        <v>158721.66048000002</v>
      </c>
      <c r="AL15" s="9">
        <f t="shared" si="14"/>
        <v>135178.71119</v>
      </c>
      <c r="AM15" s="9">
        <f>AK15-AL15</f>
        <v>23542.949290000019</v>
      </c>
      <c r="AN15" s="9">
        <f>AM15/AL15*100</f>
        <v>17.416166408710097</v>
      </c>
    </row>
    <row r="16" spans="1:40" s="11" customFormat="1" ht="15" customHeight="1" x14ac:dyDescent="0.25">
      <c r="A16" s="8" t="s">
        <v>17</v>
      </c>
      <c r="B16" s="9">
        <v>49509.292789999992</v>
      </c>
      <c r="C16" s="9">
        <f>39167.9861+19357.53</f>
        <v>58525.516100000001</v>
      </c>
      <c r="D16" s="9">
        <f t="shared" si="0"/>
        <v>-9016.2233100000085</v>
      </c>
      <c r="E16" s="9">
        <f t="shared" si="1"/>
        <v>-15.405628024867616</v>
      </c>
      <c r="F16" s="9"/>
      <c r="G16" s="9">
        <v>28791.657169999995</v>
      </c>
      <c r="H16" s="9">
        <f>23739.40796+11736.14</f>
        <v>35475.547959999996</v>
      </c>
      <c r="I16" s="9">
        <f t="shared" si="2"/>
        <v>-6683.8907900000013</v>
      </c>
      <c r="J16" s="9">
        <f t="shared" si="3"/>
        <v>-18.840838758956838</v>
      </c>
      <c r="K16" s="9"/>
      <c r="L16" s="9">
        <v>3019.8883099999994</v>
      </c>
      <c r="M16" s="9">
        <v>1433.77054</v>
      </c>
      <c r="N16" s="9">
        <f t="shared" si="4"/>
        <v>1586.1177699999994</v>
      </c>
      <c r="O16" s="9">
        <f t="shared" si="5"/>
        <v>110.62563539630264</v>
      </c>
      <c r="P16" s="9"/>
      <c r="Q16" s="9">
        <v>7285.5735599999998</v>
      </c>
      <c r="R16" s="9">
        <f>2842.74723+1404.57</f>
        <v>4247.3172299999997</v>
      </c>
      <c r="S16" s="9">
        <f t="shared" si="6"/>
        <v>3038.2563300000002</v>
      </c>
      <c r="T16" s="9">
        <f t="shared" si="7"/>
        <v>71.533539066494455</v>
      </c>
      <c r="U16" s="9"/>
      <c r="V16" s="9">
        <v>20701.729349999998</v>
      </c>
      <c r="W16" s="9">
        <f>9780.78497+4832.99</f>
        <v>14613.77497</v>
      </c>
      <c r="X16" s="9">
        <f t="shared" si="8"/>
        <v>6087.9543799999974</v>
      </c>
      <c r="Y16" s="9">
        <f t="shared" si="9"/>
        <v>41.659012763626791</v>
      </c>
      <c r="Z16" s="9"/>
      <c r="AA16" s="9">
        <v>9046.8132700000006</v>
      </c>
      <c r="AB16" s="9">
        <f>7492.95168+3703.12</f>
        <v>11196.071680000001</v>
      </c>
      <c r="AC16" s="9">
        <f t="shared" si="10"/>
        <v>-2149.2584100000004</v>
      </c>
      <c r="AD16" s="9">
        <f t="shared" si="11"/>
        <v>-19.19654028152846</v>
      </c>
      <c r="AE16" s="9"/>
      <c r="AF16" s="9">
        <v>12379.171580000002</v>
      </c>
      <c r="AG16" s="9">
        <f>9952.12677+4918.52</f>
        <v>14870.646770000001</v>
      </c>
      <c r="AH16" s="9">
        <f t="shared" si="12"/>
        <v>-2491.4751899999992</v>
      </c>
      <c r="AI16" s="9">
        <f t="shared" si="13"/>
        <v>-16.754316261659135</v>
      </c>
      <c r="AJ16" s="9"/>
      <c r="AK16" s="9">
        <f t="shared" si="14"/>
        <v>130734.12602999998</v>
      </c>
      <c r="AL16" s="9">
        <f t="shared" si="14"/>
        <v>140362.64525</v>
      </c>
      <c r="AM16" s="9">
        <f t="shared" si="15"/>
        <v>-9628.5192200000165</v>
      </c>
      <c r="AN16" s="9">
        <f t="shared" si="16"/>
        <v>-6.8597447724433049</v>
      </c>
    </row>
    <row r="17" spans="1:42" s="11" customFormat="1" ht="15" hidden="1" customHeight="1" x14ac:dyDescent="0.25">
      <c r="A17" s="8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>
        <f t="shared" si="14"/>
        <v>0</v>
      </c>
      <c r="AL17" s="9">
        <f t="shared" si="14"/>
        <v>0</v>
      </c>
      <c r="AM17" s="9">
        <f t="shared" si="15"/>
        <v>0</v>
      </c>
      <c r="AN17" s="9"/>
    </row>
    <row r="18" spans="1:42" s="11" customFormat="1" ht="15" customHeight="1" x14ac:dyDescent="0.25">
      <c r="A18" s="8" t="s">
        <v>19</v>
      </c>
      <c r="B18" s="9">
        <v>222525.35569999999</v>
      </c>
      <c r="C18" s="9">
        <v>192613.51105</v>
      </c>
      <c r="D18" s="9">
        <f t="shared" si="0"/>
        <v>29911.844649999985</v>
      </c>
      <c r="E18" s="9">
        <f t="shared" si="1"/>
        <v>15.529463373021249</v>
      </c>
      <c r="F18" s="9"/>
      <c r="G18" s="9">
        <v>220291.81793000002</v>
      </c>
      <c r="H18" s="9">
        <v>160909.17021000001</v>
      </c>
      <c r="I18" s="9">
        <f t="shared" si="2"/>
        <v>59382.647720000008</v>
      </c>
      <c r="J18" s="9">
        <f t="shared" si="3"/>
        <v>36.90445214682336</v>
      </c>
      <c r="K18" s="9"/>
      <c r="L18" s="9">
        <v>12281.996920000001</v>
      </c>
      <c r="M18" s="9">
        <v>6513.4101799999999</v>
      </c>
      <c r="N18" s="9">
        <f t="shared" si="4"/>
        <v>5768.5867400000016</v>
      </c>
      <c r="O18" s="9">
        <f t="shared" si="5"/>
        <v>88.564769922105555</v>
      </c>
      <c r="P18" s="9"/>
      <c r="Q18" s="9">
        <v>22924.446530000001</v>
      </c>
      <c r="R18" s="9">
        <v>8152.8462299999992</v>
      </c>
      <c r="S18" s="9">
        <f t="shared" si="6"/>
        <v>14771.600300000002</v>
      </c>
      <c r="T18" s="9">
        <f t="shared" si="7"/>
        <v>181.18335466263301</v>
      </c>
      <c r="U18" s="9"/>
      <c r="V18" s="9">
        <v>149638.00175</v>
      </c>
      <c r="W18" s="9">
        <v>79781.328779999996</v>
      </c>
      <c r="X18" s="9">
        <f t="shared" si="8"/>
        <v>69856.67297</v>
      </c>
      <c r="Y18" s="9">
        <f t="shared" si="9"/>
        <v>87.560177347550066</v>
      </c>
      <c r="Z18" s="9"/>
      <c r="AA18" s="9">
        <v>55593.181219999999</v>
      </c>
      <c r="AB18" s="9">
        <v>45119.173929999997</v>
      </c>
      <c r="AC18" s="9">
        <f t="shared" si="10"/>
        <v>10474.007290000001</v>
      </c>
      <c r="AD18" s="9">
        <f t="shared" si="11"/>
        <v>23.214093649519974</v>
      </c>
      <c r="AE18" s="9"/>
      <c r="AF18" s="9">
        <v>90663.194900000002</v>
      </c>
      <c r="AG18" s="9">
        <v>73151.266680000001</v>
      </c>
      <c r="AH18" s="9">
        <f t="shared" si="12"/>
        <v>17511.928220000002</v>
      </c>
      <c r="AI18" s="9">
        <f t="shared" si="13"/>
        <v>23.939336958587308</v>
      </c>
      <c r="AJ18" s="9"/>
      <c r="AK18" s="9">
        <f t="shared" si="14"/>
        <v>773917.99495000008</v>
      </c>
      <c r="AL18" s="9">
        <f t="shared" si="14"/>
        <v>566240.70705999993</v>
      </c>
      <c r="AM18" s="9">
        <f t="shared" si="15"/>
        <v>207677.28789000015</v>
      </c>
      <c r="AN18" s="9">
        <f>AM18/AL18*100</f>
        <v>36.676502642893574</v>
      </c>
    </row>
    <row r="19" spans="1:42" s="11" customFormat="1" ht="15" customHeight="1" x14ac:dyDescent="0.25">
      <c r="A19" s="12" t="s">
        <v>20</v>
      </c>
      <c r="B19" s="9">
        <v>4185.2639600000002</v>
      </c>
      <c r="C19" s="9">
        <v>3605.0996099999993</v>
      </c>
      <c r="D19" s="9">
        <f t="shared" si="0"/>
        <v>580.16435000000092</v>
      </c>
      <c r="E19" s="9">
        <f t="shared" si="1"/>
        <v>16.092879885779386</v>
      </c>
      <c r="F19" s="9"/>
      <c r="G19" s="9">
        <v>0</v>
      </c>
      <c r="H19" s="9">
        <v>0</v>
      </c>
      <c r="I19" s="9">
        <f t="shared" si="2"/>
        <v>0</v>
      </c>
      <c r="J19" s="9"/>
      <c r="K19" s="9"/>
      <c r="L19" s="9">
        <v>0</v>
      </c>
      <c r="M19" s="9">
        <v>0</v>
      </c>
      <c r="N19" s="9">
        <f t="shared" si="4"/>
        <v>0</v>
      </c>
      <c r="O19" s="9"/>
      <c r="P19" s="9"/>
      <c r="Q19" s="9">
        <v>-7.5399999999999998E-3</v>
      </c>
      <c r="R19" s="9">
        <v>0</v>
      </c>
      <c r="S19" s="9">
        <f t="shared" si="6"/>
        <v>-7.5399999999999998E-3</v>
      </c>
      <c r="T19" s="9"/>
      <c r="U19" s="9"/>
      <c r="V19" s="9">
        <v>0</v>
      </c>
      <c r="W19" s="9">
        <v>0</v>
      </c>
      <c r="X19" s="9">
        <f t="shared" si="8"/>
        <v>0</v>
      </c>
      <c r="Y19" s="9">
        <f>IFERROR(X19/W19*100,0)</f>
        <v>0</v>
      </c>
      <c r="Z19" s="9"/>
      <c r="AA19" s="9">
        <v>1547.1493099999998</v>
      </c>
      <c r="AB19" s="9">
        <v>1607.58061</v>
      </c>
      <c r="AC19" s="9">
        <f t="shared" si="10"/>
        <v>-60.431300000000192</v>
      </c>
      <c r="AD19" s="9">
        <f t="shared" si="11"/>
        <v>-3.7591458632982757</v>
      </c>
      <c r="AE19" s="9"/>
      <c r="AF19" s="9">
        <v>0</v>
      </c>
      <c r="AG19" s="9">
        <v>0</v>
      </c>
      <c r="AH19" s="9">
        <f t="shared" si="12"/>
        <v>0</v>
      </c>
      <c r="AI19" s="9"/>
      <c r="AJ19" s="9"/>
      <c r="AK19" s="9">
        <f t="shared" si="14"/>
        <v>5732.4057300000004</v>
      </c>
      <c r="AL19" s="9">
        <f t="shared" si="14"/>
        <v>5212.6802199999993</v>
      </c>
      <c r="AM19" s="9">
        <f t="shared" si="15"/>
        <v>519.72551000000112</v>
      </c>
      <c r="AN19" s="9">
        <f>AM19/AL19*100</f>
        <v>9.9704084667599506</v>
      </c>
    </row>
    <row r="20" spans="1:42" s="11" customFormat="1" ht="15" customHeight="1" x14ac:dyDescent="0.25">
      <c r="A20" s="13" t="s">
        <v>21</v>
      </c>
      <c r="B20" s="9">
        <v>0</v>
      </c>
      <c r="C20" s="9">
        <v>0</v>
      </c>
      <c r="D20" s="9">
        <f t="shared" si="0"/>
        <v>0</v>
      </c>
      <c r="E20" s="9"/>
      <c r="F20" s="9"/>
      <c r="G20" s="9">
        <v>0</v>
      </c>
      <c r="H20" s="9">
        <v>0</v>
      </c>
      <c r="I20" s="9">
        <f t="shared" si="2"/>
        <v>0</v>
      </c>
      <c r="J20" s="9"/>
      <c r="K20" s="9"/>
      <c r="L20" s="9">
        <v>0</v>
      </c>
      <c r="M20" s="9">
        <v>0</v>
      </c>
      <c r="N20" s="9">
        <f t="shared" si="4"/>
        <v>0</v>
      </c>
      <c r="O20" s="9"/>
      <c r="P20" s="9"/>
      <c r="Q20" s="9">
        <v>0</v>
      </c>
      <c r="R20" s="9">
        <v>0</v>
      </c>
      <c r="S20" s="9">
        <f t="shared" si="6"/>
        <v>0</v>
      </c>
      <c r="T20" s="9"/>
      <c r="U20" s="9"/>
      <c r="V20" s="9">
        <v>0</v>
      </c>
      <c r="W20" s="9">
        <v>0</v>
      </c>
      <c r="X20" s="9">
        <f t="shared" si="8"/>
        <v>0</v>
      </c>
      <c r="Y20" s="9">
        <f>IFERROR(X20/W20*100,0)</f>
        <v>0</v>
      </c>
      <c r="Z20" s="9"/>
      <c r="AA20" s="9">
        <v>0</v>
      </c>
      <c r="AB20" s="9">
        <v>-1.0000000000000001E-5</v>
      </c>
      <c r="AC20" s="9">
        <f t="shared" si="10"/>
        <v>1.0000000000000001E-5</v>
      </c>
      <c r="AD20" s="9">
        <f t="shared" si="11"/>
        <v>-100</v>
      </c>
      <c r="AE20" s="9"/>
      <c r="AF20" s="9">
        <v>18586.360860000001</v>
      </c>
      <c r="AG20" s="9">
        <v>0</v>
      </c>
      <c r="AH20" s="9">
        <f t="shared" si="12"/>
        <v>18586.360860000001</v>
      </c>
      <c r="AI20" s="9"/>
      <c r="AJ20" s="9"/>
      <c r="AK20" s="9">
        <f t="shared" si="14"/>
        <v>18586.360860000001</v>
      </c>
      <c r="AL20" s="9">
        <f t="shared" si="14"/>
        <v>-1.0000000000000001E-5</v>
      </c>
      <c r="AM20" s="9">
        <f t="shared" si="15"/>
        <v>18586.36087</v>
      </c>
      <c r="AN20" s="9"/>
    </row>
    <row r="21" spans="1:42" s="11" customFormat="1" ht="15" customHeight="1" x14ac:dyDescent="0.25">
      <c r="A21" s="8" t="s">
        <v>22</v>
      </c>
      <c r="B21" s="9">
        <f>+B14-B15-B16-B18-B19-B20</f>
        <v>2202022.3263099995</v>
      </c>
      <c r="C21" s="9">
        <f>+C14-C15-C16-C18-C19-C20</f>
        <v>1960702.3350600002</v>
      </c>
      <c r="D21" s="9">
        <f t="shared" si="0"/>
        <v>241319.99124999926</v>
      </c>
      <c r="E21" s="9">
        <f t="shared" si="1"/>
        <v>12.307834133456803</v>
      </c>
      <c r="F21" s="9"/>
      <c r="G21" s="9">
        <f>+G14-G15-G16-G18-G19-G20</f>
        <v>1849187.6645599999</v>
      </c>
      <c r="H21" s="9">
        <f>+H14-H15-H16-H18-H19-H20</f>
        <v>1376720.7944299998</v>
      </c>
      <c r="I21" s="9">
        <f t="shared" si="2"/>
        <v>472466.87013000017</v>
      </c>
      <c r="J21" s="9">
        <f t="shared" si="3"/>
        <v>34.318278044577255</v>
      </c>
      <c r="K21" s="9"/>
      <c r="L21" s="9">
        <f>+L14-L15-L16-L18-L19-L20</f>
        <v>97150.243090000004</v>
      </c>
      <c r="M21" s="9">
        <f>+M14-M15-M16-M18-M19-M20</f>
        <v>51266.033669999997</v>
      </c>
      <c r="N21" s="9">
        <f t="shared" si="4"/>
        <v>45884.209420000007</v>
      </c>
      <c r="O21" s="9">
        <f t="shared" si="5"/>
        <v>89.502163782275701</v>
      </c>
      <c r="P21" s="9"/>
      <c r="Q21" s="9">
        <f>+Q14-Q15-Q16-Q18-Q19-Q20</f>
        <v>240905.28878000003</v>
      </c>
      <c r="R21" s="9">
        <f>+R14-R15-R16-R18-R19-R20</f>
        <v>105196.54737</v>
      </c>
      <c r="S21" s="9">
        <f t="shared" si="6"/>
        <v>135708.74141000002</v>
      </c>
      <c r="T21" s="9">
        <f t="shared" si="7"/>
        <v>129.00493866275073</v>
      </c>
      <c r="U21" s="9"/>
      <c r="V21" s="9">
        <f>+V14-V15-V16-V18-V19-V20</f>
        <v>1276825.17808</v>
      </c>
      <c r="W21" s="9">
        <f>+W14-W15-W16-W18-W19-W20</f>
        <v>693233.71720000007</v>
      </c>
      <c r="X21" s="9">
        <f t="shared" si="8"/>
        <v>583591.46087999991</v>
      </c>
      <c r="Y21" s="9">
        <f t="shared" si="9"/>
        <v>84.18394062498146</v>
      </c>
      <c r="Z21" s="9"/>
      <c r="AA21" s="9">
        <f>+AA14-AA15-AA16-AA18-AA19-AA20</f>
        <v>494212.34262999997</v>
      </c>
      <c r="AB21" s="9">
        <f>+AB14-AB15-AB16-AB18-AB19-AB20</f>
        <v>416239.72576</v>
      </c>
      <c r="AC21" s="9">
        <f t="shared" si="10"/>
        <v>77972.616869999969</v>
      </c>
      <c r="AD21" s="9">
        <f t="shared" si="11"/>
        <v>18.73262258368829</v>
      </c>
      <c r="AE21" s="9"/>
      <c r="AF21" s="9">
        <f>+AF14-AF15-AF16-AF18-AF19-AF20</f>
        <v>785077.26685000013</v>
      </c>
      <c r="AG21" s="9">
        <f>+AG14-AG15-AG16-AG18-AG19-AG20</f>
        <v>626602.41980000003</v>
      </c>
      <c r="AH21" s="9">
        <f t="shared" si="12"/>
        <v>158474.8470500001</v>
      </c>
      <c r="AI21" s="9">
        <f t="shared" si="13"/>
        <v>25.291132310114978</v>
      </c>
      <c r="AJ21" s="9"/>
      <c r="AK21" s="9">
        <f>AK14-AK15-AK16-AK17-AK18-AK19-AK20</f>
        <v>6945380.3102999991</v>
      </c>
      <c r="AL21" s="9">
        <f>AL14-AL15-AL16-AL17-AL18-AL19-AL20</f>
        <v>5229961.5732899988</v>
      </c>
      <c r="AM21" s="9">
        <f t="shared" si="15"/>
        <v>1715418.7370100003</v>
      </c>
      <c r="AN21" s="9">
        <f t="shared" si="16"/>
        <v>32.799834434173214</v>
      </c>
    </row>
    <row r="22" spans="1:42" s="11" customFormat="1" ht="15" customHeight="1" x14ac:dyDescent="0.25">
      <c r="A22" s="8" t="s">
        <v>23</v>
      </c>
      <c r="B22" s="9">
        <v>50113.115319999997</v>
      </c>
      <c r="C22" s="9">
        <v>46517.049049999994</v>
      </c>
      <c r="D22" s="9">
        <f t="shared" si="0"/>
        <v>3596.066270000003</v>
      </c>
      <c r="E22" s="9">
        <f t="shared" si="1"/>
        <v>7.7306414388726221</v>
      </c>
      <c r="F22" s="9"/>
      <c r="G22" s="9">
        <v>29609.455190000001</v>
      </c>
      <c r="H22" s="9">
        <v>36658.974629999997</v>
      </c>
      <c r="I22" s="9">
        <f t="shared" si="2"/>
        <v>-7049.5194399999964</v>
      </c>
      <c r="J22" s="9">
        <f t="shared" si="3"/>
        <v>-19.229996231894052</v>
      </c>
      <c r="K22" s="9"/>
      <c r="L22" s="9">
        <v>15767.247220000001</v>
      </c>
      <c r="M22" s="9">
        <v>5960.8611500000006</v>
      </c>
      <c r="N22" s="9">
        <f t="shared" si="4"/>
        <v>9806.3860700000005</v>
      </c>
      <c r="O22" s="9">
        <f t="shared" si="5"/>
        <v>164.5129088437163</v>
      </c>
      <c r="P22" s="9"/>
      <c r="Q22" s="9">
        <v>6159.8877200000006</v>
      </c>
      <c r="R22" s="9">
        <v>3183.0673600000005</v>
      </c>
      <c r="S22" s="9">
        <f t="shared" si="6"/>
        <v>2976.8203600000002</v>
      </c>
      <c r="T22" s="9">
        <f t="shared" si="7"/>
        <v>93.520495274721412</v>
      </c>
      <c r="U22" s="9"/>
      <c r="V22" s="9">
        <v>19304.98317</v>
      </c>
      <c r="W22" s="9">
        <v>12627.86577</v>
      </c>
      <c r="X22" s="9">
        <f t="shared" si="8"/>
        <v>6677.1173999999992</v>
      </c>
      <c r="Y22" s="9">
        <f t="shared" si="9"/>
        <v>52.876056188867757</v>
      </c>
      <c r="Z22" s="9"/>
      <c r="AA22" s="9">
        <v>10429.361290000001</v>
      </c>
      <c r="AB22" s="9">
        <v>8348.7035500000002</v>
      </c>
      <c r="AC22" s="9">
        <f t="shared" si="10"/>
        <v>2080.6577400000006</v>
      </c>
      <c r="AD22" s="9">
        <f t="shared" si="11"/>
        <v>24.921926231288936</v>
      </c>
      <c r="AE22" s="9"/>
      <c r="AF22" s="9">
        <v>18500.437160000001</v>
      </c>
      <c r="AG22" s="9">
        <v>22939.453270000002</v>
      </c>
      <c r="AH22" s="9">
        <f t="shared" si="12"/>
        <v>-4439.0161100000005</v>
      </c>
      <c r="AI22" s="9">
        <f t="shared" si="13"/>
        <v>-19.351010931918346</v>
      </c>
      <c r="AJ22" s="9"/>
      <c r="AK22" s="9">
        <f>+B22+G22+L22+Q22+V22+AA22+AF22</f>
        <v>149884.48707</v>
      </c>
      <c r="AL22" s="9">
        <f>+C22+H22+M22+R22+W22+AB22+AG22</f>
        <v>136235.97477999999</v>
      </c>
      <c r="AM22" s="9">
        <f t="shared" si="15"/>
        <v>13648.512290000013</v>
      </c>
      <c r="AN22" s="9">
        <f t="shared" si="16"/>
        <v>10.018287983067797</v>
      </c>
    </row>
    <row r="23" spans="1:42" s="11" customFormat="1" ht="15" customHeight="1" x14ac:dyDescent="0.25">
      <c r="A23" s="8" t="s">
        <v>24</v>
      </c>
      <c r="B23" s="9">
        <f>+B21+B22</f>
        <v>2252135.4416299993</v>
      </c>
      <c r="C23" s="9">
        <f>+C21+C22</f>
        <v>2007219.3841100002</v>
      </c>
      <c r="D23" s="9">
        <f t="shared" si="0"/>
        <v>244916.0575199991</v>
      </c>
      <c r="E23" s="9">
        <f t="shared" si="1"/>
        <v>12.201758286057739</v>
      </c>
      <c r="F23" s="9"/>
      <c r="G23" s="9">
        <f>+G21+G22</f>
        <v>1878797.1197499998</v>
      </c>
      <c r="H23" s="9">
        <f>+H21+H22</f>
        <v>1413379.7690599998</v>
      </c>
      <c r="I23" s="9">
        <f t="shared" si="2"/>
        <v>465417.35068999999</v>
      </c>
      <c r="J23" s="9">
        <f t="shared" si="3"/>
        <v>32.929391015660023</v>
      </c>
      <c r="K23" s="9"/>
      <c r="L23" s="9">
        <f>+L21+L22</f>
        <v>112917.49031000001</v>
      </c>
      <c r="M23" s="9">
        <f>+M21+M22</f>
        <v>57226.894820000001</v>
      </c>
      <c r="N23" s="9">
        <f t="shared" si="4"/>
        <v>55690.595490000007</v>
      </c>
      <c r="O23" s="9">
        <f t="shared" si="5"/>
        <v>97.315424268899733</v>
      </c>
      <c r="P23" s="9"/>
      <c r="Q23" s="9">
        <f>+Q21+Q22</f>
        <v>247065.17650000003</v>
      </c>
      <c r="R23" s="9">
        <f>+R21+R22</f>
        <v>108379.61473</v>
      </c>
      <c r="S23" s="9">
        <f t="shared" si="6"/>
        <v>138685.56177000003</v>
      </c>
      <c r="T23" s="9">
        <f t="shared" si="7"/>
        <v>127.96277428693534</v>
      </c>
      <c r="U23" s="9"/>
      <c r="V23" s="9">
        <f>+V21+V22</f>
        <v>1296130.1612499999</v>
      </c>
      <c r="W23" s="9">
        <f>+W21+W22</f>
        <v>705861.5829700001</v>
      </c>
      <c r="X23" s="9">
        <f t="shared" si="8"/>
        <v>590268.57827999978</v>
      </c>
      <c r="Y23" s="9">
        <f t="shared" si="9"/>
        <v>83.623842481463797</v>
      </c>
      <c r="Z23" s="9"/>
      <c r="AA23" s="9">
        <f>+AA21+AA22</f>
        <v>504641.70392</v>
      </c>
      <c r="AB23" s="9">
        <f>+AB21+AB22</f>
        <v>424588.42930999998</v>
      </c>
      <c r="AC23" s="9">
        <f t="shared" si="10"/>
        <v>80053.274610000022</v>
      </c>
      <c r="AD23" s="9">
        <f t="shared" si="11"/>
        <v>18.854323171287277</v>
      </c>
      <c r="AE23" s="9"/>
      <c r="AF23" s="9">
        <f>+AF21+AF22</f>
        <v>803577.7040100001</v>
      </c>
      <c r="AG23" s="9">
        <f>+AG21+AG22</f>
        <v>649541.87307000009</v>
      </c>
      <c r="AH23" s="9">
        <f t="shared" si="12"/>
        <v>154035.83094000001</v>
      </c>
      <c r="AI23" s="9">
        <f t="shared" si="13"/>
        <v>23.714534401294838</v>
      </c>
      <c r="AJ23" s="9"/>
      <c r="AK23" s="9">
        <f>AK21+AK22</f>
        <v>7095264.7973699989</v>
      </c>
      <c r="AL23" s="9">
        <f>AL21+AL22</f>
        <v>5366197.5480699986</v>
      </c>
      <c r="AM23" s="9">
        <f t="shared" si="15"/>
        <v>1729067.2493000003</v>
      </c>
      <c r="AN23" s="9">
        <f t="shared" si="16"/>
        <v>32.221460984452108</v>
      </c>
    </row>
    <row r="24" spans="1:42" s="11" customFormat="1" ht="15" customHeight="1" x14ac:dyDescent="0.25">
      <c r="A24" s="8" t="s">
        <v>25</v>
      </c>
      <c r="B24" s="9">
        <v>1990291.61516</v>
      </c>
      <c r="C24" s="9">
        <v>1808296.1256100002</v>
      </c>
      <c r="D24" s="9">
        <f t="shared" si="0"/>
        <v>181995.48954999982</v>
      </c>
      <c r="E24" s="9">
        <f t="shared" si="1"/>
        <v>10.064473786814453</v>
      </c>
      <c r="F24" s="9"/>
      <c r="G24" s="9">
        <v>1526847.9034299999</v>
      </c>
      <c r="H24" s="9">
        <v>1248692.2165100002</v>
      </c>
      <c r="I24" s="9">
        <f t="shared" si="2"/>
        <v>278155.68691999977</v>
      </c>
      <c r="J24" s="9">
        <f t="shared" si="3"/>
        <v>22.275760450995985</v>
      </c>
      <c r="K24" s="9"/>
      <c r="L24" s="9">
        <v>75173.967870000008</v>
      </c>
      <c r="M24" s="9">
        <v>38094.22279</v>
      </c>
      <c r="N24" s="9">
        <f t="shared" si="4"/>
        <v>37079.745080000008</v>
      </c>
      <c r="O24" s="9">
        <f t="shared" si="5"/>
        <v>97.336925035608544</v>
      </c>
      <c r="P24" s="9"/>
      <c r="Q24" s="9">
        <v>169543.46354999999</v>
      </c>
      <c r="R24" s="9">
        <v>68265.085830000011</v>
      </c>
      <c r="S24" s="9">
        <f t="shared" si="6"/>
        <v>101278.37771999997</v>
      </c>
      <c r="T24" s="9">
        <f t="shared" si="7"/>
        <v>148.36043416427057</v>
      </c>
      <c r="U24" s="9"/>
      <c r="V24" s="9">
        <v>1123661.24456</v>
      </c>
      <c r="W24" s="9">
        <v>733594.71050000004</v>
      </c>
      <c r="X24" s="9">
        <f t="shared" si="8"/>
        <v>390066.53405999998</v>
      </c>
      <c r="Y24" s="9">
        <f t="shared" si="9"/>
        <v>53.171939284314121</v>
      </c>
      <c r="Z24" s="9"/>
      <c r="AA24" s="9">
        <v>403777.51260000002</v>
      </c>
      <c r="AB24" s="9">
        <v>363847.60942999995</v>
      </c>
      <c r="AC24" s="9">
        <f t="shared" si="10"/>
        <v>39929.903170000063</v>
      </c>
      <c r="AD24" s="9">
        <f t="shared" si="11"/>
        <v>10.974348088353212</v>
      </c>
      <c r="AE24" s="9"/>
      <c r="AF24" s="9">
        <v>694532.36635000003</v>
      </c>
      <c r="AG24" s="9">
        <v>562014.77727999992</v>
      </c>
      <c r="AH24" s="9">
        <f t="shared" si="12"/>
        <v>132517.5890700001</v>
      </c>
      <c r="AI24" s="9">
        <f t="shared" si="13"/>
        <v>23.579022194282778</v>
      </c>
      <c r="AJ24" s="9"/>
      <c r="AK24" s="9">
        <f>+B24+G24+L24+Q24+V24+AA24+AF24</f>
        <v>5983828.0735199992</v>
      </c>
      <c r="AL24" s="9">
        <f>+C24+H24+M24+R24+W24+AB24+AG24</f>
        <v>4822804.7479500007</v>
      </c>
      <c r="AM24" s="9">
        <f t="shared" si="15"/>
        <v>1161023.3255699985</v>
      </c>
      <c r="AN24" s="9">
        <f t="shared" si="16"/>
        <v>24.073612477542397</v>
      </c>
    </row>
    <row r="25" spans="1:42" ht="15" customHeight="1" x14ac:dyDescent="0.25">
      <c r="A25" s="14" t="s">
        <v>26</v>
      </c>
      <c r="B25" s="9">
        <f>+ROUND(B24/B23*100,0)</f>
        <v>88</v>
      </c>
      <c r="C25" s="9">
        <f>+ROUND(C24/C23*100,0)</f>
        <v>90</v>
      </c>
      <c r="D25" s="21" t="s">
        <v>27</v>
      </c>
      <c r="E25" s="9">
        <v>1</v>
      </c>
      <c r="F25" s="9"/>
      <c r="G25" s="9">
        <f>+ROUND(G24/G23*100,0)</f>
        <v>81</v>
      </c>
      <c r="H25" s="9">
        <f>+ROUND(H24/H23*100,0)</f>
        <v>88</v>
      </c>
      <c r="I25" s="21" t="s">
        <v>27</v>
      </c>
      <c r="J25" s="9">
        <f>G25-H25</f>
        <v>-7</v>
      </c>
      <c r="K25" s="9"/>
      <c r="L25" s="9">
        <f>+ROUND(L24/L23*100,0)</f>
        <v>67</v>
      </c>
      <c r="M25" s="9">
        <f>+ROUND(M24/M23*100,0)</f>
        <v>67</v>
      </c>
      <c r="N25" s="21" t="s">
        <v>27</v>
      </c>
      <c r="O25" s="9">
        <v>-3</v>
      </c>
      <c r="P25" s="9"/>
      <c r="Q25" s="9">
        <f>+ROUND(Q24/Q23*100,0)</f>
        <v>69</v>
      </c>
      <c r="R25" s="9">
        <f>+ROUND(R24/R23*100,0)</f>
        <v>63</v>
      </c>
      <c r="S25" s="21" t="s">
        <v>27</v>
      </c>
      <c r="T25" s="9">
        <f>Q25-R25</f>
        <v>6</v>
      </c>
      <c r="U25" s="9"/>
      <c r="V25" s="9">
        <f>+ROUND(V24/V23*100,0)</f>
        <v>87</v>
      </c>
      <c r="W25" s="9">
        <f>+ROUND(W24/W23*100,0)</f>
        <v>104</v>
      </c>
      <c r="X25" s="21" t="s">
        <v>27</v>
      </c>
      <c r="Y25" s="9">
        <f>V25-W25</f>
        <v>-17</v>
      </c>
      <c r="Z25" s="9"/>
      <c r="AA25" s="9">
        <f>+ROUND(AA24/AA23*100,0)</f>
        <v>80</v>
      </c>
      <c r="AB25" s="9">
        <f>+ROUND(AB24/AB23*100,0)</f>
        <v>86</v>
      </c>
      <c r="AC25" s="21" t="s">
        <v>27</v>
      </c>
      <c r="AD25" s="9">
        <f>AA25-AB25</f>
        <v>-6</v>
      </c>
      <c r="AE25" s="9"/>
      <c r="AF25" s="9">
        <f>+ROUND(AF24/AF23*100,0)</f>
        <v>86</v>
      </c>
      <c r="AG25" s="9">
        <f>+ROUND(AG24/AG23*100,0)</f>
        <v>87</v>
      </c>
      <c r="AH25" s="21" t="s">
        <v>27</v>
      </c>
      <c r="AI25" s="9">
        <f>AF25-AG25</f>
        <v>-1</v>
      </c>
      <c r="AJ25" s="9"/>
      <c r="AK25" s="9">
        <f>ROUND((AK24/AK23*100),0)</f>
        <v>84</v>
      </c>
      <c r="AL25" s="9">
        <f>ROUND((AL24/AL23*100),0)</f>
        <v>90</v>
      </c>
      <c r="AM25" s="21" t="s">
        <v>27</v>
      </c>
      <c r="AN25" s="9">
        <f>AK25-AL25</f>
        <v>-6</v>
      </c>
      <c r="AO25" s="11"/>
    </row>
    <row r="26" spans="1:42" s="11" customFormat="1" ht="15" customHeight="1" x14ac:dyDescent="0.25">
      <c r="A26" s="8" t="s">
        <v>28</v>
      </c>
      <c r="B26" s="9">
        <v>160986.84490000003</v>
      </c>
      <c r="C26" s="9">
        <v>142999.33887000001</v>
      </c>
      <c r="D26" s="9">
        <f t="shared" si="0"/>
        <v>17987.506030000019</v>
      </c>
      <c r="E26" s="9">
        <f>D26/C26*100</f>
        <v>12.578733700546946</v>
      </c>
      <c r="F26" s="9"/>
      <c r="G26" s="9">
        <v>120582.62436</v>
      </c>
      <c r="H26" s="9">
        <v>124679.36958000001</v>
      </c>
      <c r="I26" s="9">
        <f>G26-H26</f>
        <v>-4096.7452200000116</v>
      </c>
      <c r="J26" s="9">
        <f>I26/H26*100</f>
        <v>-3.2858244582086624</v>
      </c>
      <c r="K26" s="9"/>
      <c r="L26" s="9">
        <v>25895.239950000003</v>
      </c>
      <c r="M26" s="9">
        <v>27839.154769999997</v>
      </c>
      <c r="N26" s="9">
        <f>L26-M26</f>
        <v>-1943.9148199999945</v>
      </c>
      <c r="O26" s="9">
        <f>N26/M26*100</f>
        <v>-6.98266465365103</v>
      </c>
      <c r="P26" s="9"/>
      <c r="Q26" s="9">
        <v>50265.526060000004</v>
      </c>
      <c r="R26" s="9">
        <v>36722.468340000007</v>
      </c>
      <c r="S26" s="9">
        <f>Q26-R26</f>
        <v>13543.057719999997</v>
      </c>
      <c r="T26" s="9">
        <f>S26/R26*100</f>
        <v>36.879486407639433</v>
      </c>
      <c r="U26" s="9"/>
      <c r="V26" s="9">
        <v>72016.890340000013</v>
      </c>
      <c r="W26" s="9">
        <v>64837.356060000006</v>
      </c>
      <c r="X26" s="9">
        <f>V26-W26</f>
        <v>7179.5342800000071</v>
      </c>
      <c r="Y26" s="9">
        <f>X26/W26*100</f>
        <v>11.073144736741146</v>
      </c>
      <c r="Z26" s="9"/>
      <c r="AA26" s="9">
        <v>69327.451280000008</v>
      </c>
      <c r="AB26" s="9">
        <v>41579.923510000008</v>
      </c>
      <c r="AC26" s="9">
        <f>AA26-AB26</f>
        <v>27747.527770000001</v>
      </c>
      <c r="AD26" s="9">
        <f>AC26/AB26*100</f>
        <v>66.732993780824771</v>
      </c>
      <c r="AE26" s="9"/>
      <c r="AF26" s="9">
        <v>77464.128159999993</v>
      </c>
      <c r="AG26" s="9">
        <v>79974.589960000012</v>
      </c>
      <c r="AH26" s="9">
        <f>AF26-AG26</f>
        <v>-2510.4618000000191</v>
      </c>
      <c r="AI26" s="9">
        <f>AH26/AG26*100</f>
        <v>-3.1390743000441117</v>
      </c>
      <c r="AJ26" s="9"/>
      <c r="AK26" s="9">
        <f>+B26+G26+L26+Q26+V26+AA26+AF26</f>
        <v>576538.70505000011</v>
      </c>
      <c r="AL26" s="9">
        <f>+C26+H26+M26+R26+W26+AB26+AG26</f>
        <v>518632.2010900001</v>
      </c>
      <c r="AM26" s="9">
        <f>AK26-AL26</f>
        <v>57906.503960000002</v>
      </c>
      <c r="AN26" s="9">
        <f>AM26/AL26*100</f>
        <v>11.165234985081707</v>
      </c>
    </row>
    <row r="27" spans="1:42" ht="15" customHeight="1" x14ac:dyDescent="0.25">
      <c r="A27" s="14" t="s">
        <v>26</v>
      </c>
      <c r="B27" s="9">
        <f>+ROUND(B26/B23*100,0)</f>
        <v>7</v>
      </c>
      <c r="C27" s="9">
        <f>+ROUND(C26/C23*100,0)</f>
        <v>7</v>
      </c>
      <c r="D27" s="9"/>
      <c r="E27" s="9">
        <f>B27-C27</f>
        <v>0</v>
      </c>
      <c r="F27" s="9"/>
      <c r="G27" s="9">
        <v>9</v>
      </c>
      <c r="H27" s="9">
        <v>9</v>
      </c>
      <c r="I27" s="9"/>
      <c r="J27" s="9">
        <f>G27-H27</f>
        <v>0</v>
      </c>
      <c r="K27" s="9"/>
      <c r="L27" s="9">
        <v>25</v>
      </c>
      <c r="M27" s="9">
        <v>25</v>
      </c>
      <c r="N27" s="9"/>
      <c r="O27" s="9">
        <v>3</v>
      </c>
      <c r="P27" s="9"/>
      <c r="Q27" s="9">
        <v>29</v>
      </c>
      <c r="R27" s="9">
        <v>29</v>
      </c>
      <c r="S27" s="9"/>
      <c r="T27" s="9">
        <f>Q27-R27</f>
        <v>0</v>
      </c>
      <c r="U27" s="9"/>
      <c r="V27" s="9">
        <v>9</v>
      </c>
      <c r="W27" s="9">
        <v>9</v>
      </c>
      <c r="X27" s="9"/>
      <c r="Y27" s="9">
        <f>V27-W27</f>
        <v>0</v>
      </c>
      <c r="Z27" s="9"/>
      <c r="AA27" s="9">
        <v>13</v>
      </c>
      <c r="AB27" s="9">
        <v>13</v>
      </c>
      <c r="AC27" s="9"/>
      <c r="AD27" s="9">
        <f>AA27-AB27</f>
        <v>0</v>
      </c>
      <c r="AE27" s="9"/>
      <c r="AF27" s="9">
        <v>17</v>
      </c>
      <c r="AG27" s="9">
        <v>17</v>
      </c>
      <c r="AH27" s="9"/>
      <c r="AI27" s="9">
        <f>AF27-AG27</f>
        <v>0</v>
      </c>
      <c r="AJ27" s="9"/>
      <c r="AK27" s="9">
        <f>ROUND((AK26/AK23*100),0)</f>
        <v>8</v>
      </c>
      <c r="AL27" s="9">
        <f>ROUND((AL26/AL23*100),0)</f>
        <v>10</v>
      </c>
      <c r="AM27" s="9"/>
      <c r="AN27" s="9">
        <f>AK27-AL27</f>
        <v>-2</v>
      </c>
      <c r="AO27" s="11"/>
      <c r="AP27" s="7"/>
    </row>
    <row r="28" spans="1:42" s="11" customFormat="1" ht="15" customHeight="1" x14ac:dyDescent="0.25">
      <c r="A28" s="8" t="s">
        <v>29</v>
      </c>
      <c r="B28" s="9">
        <f>+B23-B24-B26</f>
        <v>100856.98156999925</v>
      </c>
      <c r="C28" s="9">
        <f>+C23-C24-C26</f>
        <v>55923.919629999989</v>
      </c>
      <c r="D28" s="9">
        <f>B28-C28</f>
        <v>44933.061939999257</v>
      </c>
      <c r="E28" s="9">
        <f>D28/C28*100</f>
        <v>80.346767961334436</v>
      </c>
      <c r="F28" s="9"/>
      <c r="G28" s="9">
        <f>+G23-G24-G26</f>
        <v>231366.59195999987</v>
      </c>
      <c r="H28" s="9">
        <f>+H23-H24-H26</f>
        <v>40008.18296999966</v>
      </c>
      <c r="I28" s="9">
        <f>G28-H28</f>
        <v>191358.4089900002</v>
      </c>
      <c r="J28" s="9">
        <f>I28/H28*100</f>
        <v>478.29817498458073</v>
      </c>
      <c r="K28" s="9"/>
      <c r="L28" s="9">
        <f>+L23-L24-L26</f>
        <v>11848.282489999998</v>
      </c>
      <c r="M28" s="9">
        <f>+M23-M24-M26</f>
        <v>-8706.4827399999958</v>
      </c>
      <c r="N28" s="9">
        <f>L28-M28</f>
        <v>20554.765229999994</v>
      </c>
      <c r="O28" s="9">
        <f>N28/M28*100</f>
        <v>-236.08575177626784</v>
      </c>
      <c r="P28" s="9"/>
      <c r="Q28" s="9">
        <f>+Q23-Q24-Q26</f>
        <v>27256.186890000041</v>
      </c>
      <c r="R28" s="9">
        <f>+R23-R24-R26</f>
        <v>3392.0605599999835</v>
      </c>
      <c r="S28" s="9">
        <f>Q28-R28</f>
        <v>23864.126330000057</v>
      </c>
      <c r="T28" s="9">
        <f>S28/R28*100</f>
        <v>703.52889955479372</v>
      </c>
      <c r="U28" s="9"/>
      <c r="V28" s="9">
        <f>+V23-V24-V26</f>
        <v>100452.02634999985</v>
      </c>
      <c r="W28" s="9">
        <f>+W23-W24-W26</f>
        <v>-92570.483589999945</v>
      </c>
      <c r="X28" s="9">
        <f>V28-W28</f>
        <v>193022.50993999979</v>
      </c>
      <c r="Y28" s="9">
        <f>X28/W28*100</f>
        <v>-208.51409915379472</v>
      </c>
      <c r="Z28" s="9"/>
      <c r="AA28" s="9">
        <f>+AA23-AA24-AA26</f>
        <v>31536.740039999975</v>
      </c>
      <c r="AB28" s="9">
        <f>+AB23-AB24-AB26</f>
        <v>19160.896370000017</v>
      </c>
      <c r="AC28" s="9">
        <f>AA28-AB28</f>
        <v>12375.843669999958</v>
      </c>
      <c r="AD28" s="9">
        <f>AC28/AB28*100</f>
        <v>64.589064264115876</v>
      </c>
      <c r="AE28" s="9"/>
      <c r="AF28" s="9">
        <f>+AF23-AF24-AF26</f>
        <v>31581.209500000085</v>
      </c>
      <c r="AG28" s="9">
        <f>+AG23-AG24-AG26</f>
        <v>7552.5058300001547</v>
      </c>
      <c r="AH28" s="9">
        <f>AF28-AG28</f>
        <v>24028.70366999993</v>
      </c>
      <c r="AI28" s="9">
        <f>AH28/AG28*100</f>
        <v>318.15538062284998</v>
      </c>
      <c r="AJ28" s="9"/>
      <c r="AK28" s="9">
        <f>AK23-AK24-AK26</f>
        <v>534898.01879999961</v>
      </c>
      <c r="AL28" s="9">
        <f>AL23-AL24-AL26</f>
        <v>24760.599029997829</v>
      </c>
      <c r="AM28" s="9">
        <f>AK28-AL28</f>
        <v>510137.41977000178</v>
      </c>
      <c r="AN28" s="9">
        <f>AM28/AL28*100</f>
        <v>2060.2789906333155</v>
      </c>
    </row>
    <row r="29" spans="1:42" s="11" customFormat="1" ht="15" customHeight="1" x14ac:dyDescent="0.25">
      <c r="A29" s="8" t="s">
        <v>30</v>
      </c>
      <c r="B29" s="9">
        <v>66166.340159999992</v>
      </c>
      <c r="C29" s="9">
        <v>63795.693599999999</v>
      </c>
      <c r="D29" s="9">
        <f>B29-C29</f>
        <v>2370.6465599999938</v>
      </c>
      <c r="E29" s="9">
        <f>D29/C29*100</f>
        <v>3.7159977832735622</v>
      </c>
      <c r="F29" s="9"/>
      <c r="G29" s="9">
        <v>40957.716480000003</v>
      </c>
      <c r="H29" s="9">
        <v>40945.591820000001</v>
      </c>
      <c r="I29" s="9">
        <f>G29-H29</f>
        <v>12.124660000001313</v>
      </c>
      <c r="J29" s="9">
        <f>I29/H29*100</f>
        <v>2.961163695789832E-2</v>
      </c>
      <c r="K29" s="9"/>
      <c r="L29" s="9">
        <v>4543.7708599999996</v>
      </c>
      <c r="M29" s="9">
        <v>4878.4121999999998</v>
      </c>
      <c r="N29" s="9">
        <f>L29-M29</f>
        <v>-334.64134000000013</v>
      </c>
      <c r="O29" s="9">
        <f>N29/M29*100</f>
        <v>-6.8596364202270594</v>
      </c>
      <c r="P29" s="9"/>
      <c r="Q29" s="9">
        <v>5140.7476100000003</v>
      </c>
      <c r="R29" s="9">
        <v>4459.9341199999999</v>
      </c>
      <c r="S29" s="9">
        <f>Q29-R29</f>
        <v>680.81349000000046</v>
      </c>
      <c r="T29" s="9">
        <f>S29/R29*100</f>
        <v>15.265101942806286</v>
      </c>
      <c r="U29" s="9"/>
      <c r="V29" s="9">
        <v>19870.580819999999</v>
      </c>
      <c r="W29" s="9">
        <v>24536.612869999997</v>
      </c>
      <c r="X29" s="9">
        <f>V29-W29</f>
        <v>-4666.032049999998</v>
      </c>
      <c r="Y29" s="9">
        <f>X29/W29*100</f>
        <v>-19.016610298746578</v>
      </c>
      <c r="Z29" s="9"/>
      <c r="AA29" s="9">
        <v>16049.76352</v>
      </c>
      <c r="AB29" s="9">
        <v>14247.138989999999</v>
      </c>
      <c r="AC29" s="9">
        <f>AA29-AB29</f>
        <v>1802.624530000001</v>
      </c>
      <c r="AD29" s="9">
        <f>AC29/AB29*100</f>
        <v>12.652536984901003</v>
      </c>
      <c r="AE29" s="9"/>
      <c r="AF29" s="9">
        <v>15006.179559999999</v>
      </c>
      <c r="AG29" s="9">
        <v>13143.355280000002</v>
      </c>
      <c r="AH29" s="9">
        <f>AF29-AG29</f>
        <v>1862.8242799999971</v>
      </c>
      <c r="AI29" s="9">
        <f>AH29/AG29*100</f>
        <v>14.173125813882715</v>
      </c>
      <c r="AJ29" s="9"/>
      <c r="AK29" s="9">
        <f>+B29+G29+L29+Q29+V29+AA29+AF29</f>
        <v>167735.09901000001</v>
      </c>
      <c r="AL29" s="9">
        <f>+C29+H29+M29+R29+W29+AB29+AG29</f>
        <v>166006.73887999999</v>
      </c>
      <c r="AM29" s="9">
        <f>AK29-AL29</f>
        <v>1728.3601300000155</v>
      </c>
      <c r="AN29" s="9">
        <f>AM29/AL29*100</f>
        <v>1.0411385354960692</v>
      </c>
    </row>
    <row r="30" spans="1:42" s="11" customFormat="1" ht="15" customHeight="1" x14ac:dyDescent="0.25">
      <c r="A30" s="8" t="s">
        <v>31</v>
      </c>
      <c r="B30" s="9">
        <v>5331.7359500000002</v>
      </c>
      <c r="C30" s="9">
        <v>7171.86661</v>
      </c>
      <c r="D30" s="9">
        <f>B30-C30</f>
        <v>-1840.1306599999998</v>
      </c>
      <c r="E30" s="9">
        <f>D30/C30*100</f>
        <v>-25.657625274767899</v>
      </c>
      <c r="F30" s="9"/>
      <c r="G30" s="9">
        <v>31599.66228</v>
      </c>
      <c r="H30" s="9">
        <v>24245.629089999995</v>
      </c>
      <c r="I30" s="9">
        <f>G30-H30</f>
        <v>7354.0331900000056</v>
      </c>
      <c r="J30" s="9">
        <f>I30/H30*100</f>
        <v>30.331377101834594</v>
      </c>
      <c r="K30" s="9"/>
      <c r="L30" s="9">
        <v>2411.5500000000002</v>
      </c>
      <c r="M30" s="9">
        <v>2414.6959999999999</v>
      </c>
      <c r="N30" s="9">
        <f>L30-M30</f>
        <v>-3.1459999999997308</v>
      </c>
      <c r="O30" s="9">
        <f>N30/M30*100</f>
        <v>-0.13028555147313498</v>
      </c>
      <c r="P30" s="9"/>
      <c r="Q30" s="9">
        <v>6409.5309999999999</v>
      </c>
      <c r="R30" s="9">
        <v>5366.5060000000003</v>
      </c>
      <c r="S30" s="9">
        <f>Q30-R30</f>
        <v>1043.0249999999996</v>
      </c>
      <c r="T30" s="9">
        <f>S30/R30*100</f>
        <v>19.435830314919979</v>
      </c>
      <c r="U30" s="9"/>
      <c r="V30" s="9">
        <v>4214.9021300000004</v>
      </c>
      <c r="W30" s="9">
        <v>4160.5236499999992</v>
      </c>
      <c r="X30" s="9">
        <f>V30-W30</f>
        <v>54.378480000001218</v>
      </c>
      <c r="Y30" s="9">
        <f>X30/W30*100</f>
        <v>1.3070104769143958</v>
      </c>
      <c r="Z30" s="9"/>
      <c r="AA30" s="9">
        <v>3356.3611899999996</v>
      </c>
      <c r="AB30" s="9">
        <v>2749.6175300000004</v>
      </c>
      <c r="AC30" s="9">
        <f>AA30-AB30</f>
        <v>606.74365999999918</v>
      </c>
      <c r="AD30" s="9">
        <f>AC30/AB30*100</f>
        <v>22.066474823500236</v>
      </c>
      <c r="AE30" s="9"/>
      <c r="AF30" s="9">
        <v>3332.7896899999996</v>
      </c>
      <c r="AG30" s="9">
        <v>1503.67931</v>
      </c>
      <c r="AH30" s="9">
        <f>AF30-AG30</f>
        <v>1829.1103799999996</v>
      </c>
      <c r="AI30" s="9">
        <f>AH30/AG30*100</f>
        <v>121.6423188000106</v>
      </c>
      <c r="AJ30" s="9"/>
      <c r="AK30" s="9">
        <f>+B30+G30+L30+Q30+V30+AA30+AF30</f>
        <v>56656.532240000008</v>
      </c>
      <c r="AL30" s="9">
        <f>+C30+H30+M30+R30+W30+AB30+AG30</f>
        <v>47612.518189999995</v>
      </c>
      <c r="AM30" s="9">
        <f>AK30-AL30</f>
        <v>9044.0140500000125</v>
      </c>
      <c r="AN30" s="9">
        <f>AM30/AL30*100</f>
        <v>18.995034066271078</v>
      </c>
    </row>
    <row r="31" spans="1:42" s="11" customFormat="1" ht="15" customHeight="1" x14ac:dyDescent="0.25">
      <c r="A31" s="8" t="s">
        <v>32</v>
      </c>
      <c r="B31" s="9">
        <f>+B28-B29-B30</f>
        <v>29358.905459999252</v>
      </c>
      <c r="C31" s="9">
        <f>+C28-C29-C30</f>
        <v>-15043.64058000001</v>
      </c>
      <c r="D31" s="9">
        <f>B31-C31</f>
        <v>44402.546039999259</v>
      </c>
      <c r="E31" s="9">
        <f>D31/C31*100</f>
        <v>-295.15824845636683</v>
      </c>
      <c r="F31" s="9"/>
      <c r="G31" s="9">
        <f>+G28-G29-G30</f>
        <v>158809.21319999988</v>
      </c>
      <c r="H31" s="9">
        <f>+H28-H29-H30</f>
        <v>-25183.037940000337</v>
      </c>
      <c r="I31" s="9">
        <f>G31-H31</f>
        <v>183992.25114000021</v>
      </c>
      <c r="J31" s="9">
        <f>I31/H31*100</f>
        <v>-730.61975913457945</v>
      </c>
      <c r="K31" s="9"/>
      <c r="L31" s="9">
        <f>+L28-L29-L30</f>
        <v>4892.961629999998</v>
      </c>
      <c r="M31" s="9">
        <f>+M28-M29-M30</f>
        <v>-15999.590939999995</v>
      </c>
      <c r="N31" s="9">
        <f>L31-M31</f>
        <v>20892.552569999993</v>
      </c>
      <c r="O31" s="9">
        <f>N31/M31*100</f>
        <v>-130.58179204924099</v>
      </c>
      <c r="P31" s="9"/>
      <c r="Q31" s="9">
        <f>+Q28-Q29-Q30</f>
        <v>15705.908280000043</v>
      </c>
      <c r="R31" s="9">
        <f>+R28-R29-R30</f>
        <v>-6434.3795600000167</v>
      </c>
      <c r="S31" s="9">
        <f>Q31-R31</f>
        <v>22140.287840000059</v>
      </c>
      <c r="T31" s="9">
        <f>S31/R31*100</f>
        <v>-344.09359338447234</v>
      </c>
      <c r="U31" s="9"/>
      <c r="V31" s="9">
        <f>+V28-V29-V30</f>
        <v>76366.543399999849</v>
      </c>
      <c r="W31" s="9">
        <f>+W28-W29-W30</f>
        <v>-121267.62010999995</v>
      </c>
      <c r="X31" s="9">
        <f>V31-W31</f>
        <v>197634.16350999981</v>
      </c>
      <c r="Y31" s="9">
        <f>X31/W31*100</f>
        <v>-162.97356485657835</v>
      </c>
      <c r="Z31" s="9"/>
      <c r="AA31" s="9">
        <f>+AA28-AA29-AA30</f>
        <v>12130.615329999975</v>
      </c>
      <c r="AB31" s="9">
        <f>+AB28-AB29-AB30</f>
        <v>2164.1398500000168</v>
      </c>
      <c r="AC31" s="9">
        <f>AA31-AB31</f>
        <v>9966.4754799999573</v>
      </c>
      <c r="AD31" s="9">
        <f>AC31/AB31*100</f>
        <v>460.52825467817524</v>
      </c>
      <c r="AE31" s="9"/>
      <c r="AF31" s="9">
        <f>+AF28-AF29-AF30</f>
        <v>13242.240250000088</v>
      </c>
      <c r="AG31" s="9">
        <f>+AG28-AG29-AG30</f>
        <v>-7094.5287599998464</v>
      </c>
      <c r="AH31" s="9">
        <f>AF31-AG31</f>
        <v>20336.769009999934</v>
      </c>
      <c r="AI31" s="9">
        <f>AH31/AG31*100</f>
        <v>-286.65426130431774</v>
      </c>
      <c r="AJ31" s="9"/>
      <c r="AK31" s="9">
        <f>AK28-AK29-AK30</f>
        <v>310506.38754999958</v>
      </c>
      <c r="AL31" s="9">
        <f>AL28-AL29-AL30</f>
        <v>-188858.65804000216</v>
      </c>
      <c r="AM31" s="9">
        <f>AK31-AL31</f>
        <v>499365.04559000174</v>
      </c>
      <c r="AN31" s="9">
        <f>AM31/AL31*100</f>
        <v>-264.41204802177043</v>
      </c>
    </row>
    <row r="32" spans="1:42" ht="15" customHeight="1" x14ac:dyDescent="0.25">
      <c r="A32" s="14" t="s">
        <v>26</v>
      </c>
      <c r="B32" s="9">
        <f>+ROUND(B31/B23*100,0)</f>
        <v>1</v>
      </c>
      <c r="C32" s="9">
        <f>+ROUND(C31/C23*100,0)</f>
        <v>-1</v>
      </c>
      <c r="D32" s="9"/>
      <c r="E32" s="9">
        <f>B32-C32</f>
        <v>2</v>
      </c>
      <c r="F32" s="9"/>
      <c r="G32" s="9">
        <f>+ROUND(G31/G23*100,0)</f>
        <v>8</v>
      </c>
      <c r="H32" s="9">
        <f>+ROUND(H31/H23*100,0)</f>
        <v>-2</v>
      </c>
      <c r="I32" s="9"/>
      <c r="J32" s="9">
        <f>G32-H32</f>
        <v>10</v>
      </c>
      <c r="K32" s="9"/>
      <c r="L32" s="9">
        <f>+ROUND(L31/L23*100,0)</f>
        <v>4</v>
      </c>
      <c r="M32" s="9">
        <f>+ROUND(M31/M23*100,0)</f>
        <v>-28</v>
      </c>
      <c r="N32" s="9"/>
      <c r="O32" s="9">
        <f>L32-M32</f>
        <v>32</v>
      </c>
      <c r="P32" s="9"/>
      <c r="Q32" s="9">
        <f>+ROUND(Q31/Q23*100,0)</f>
        <v>6</v>
      </c>
      <c r="R32" s="9">
        <f>+ROUND(R31/R23*100,0)</f>
        <v>-6</v>
      </c>
      <c r="S32" s="9"/>
      <c r="T32" s="9">
        <f>Q32-R32</f>
        <v>12</v>
      </c>
      <c r="U32" s="9"/>
      <c r="V32" s="9">
        <f>+ROUND(V31/V23*100,0)</f>
        <v>6</v>
      </c>
      <c r="W32" s="9">
        <f>+ROUND(W31/W23*100,0)</f>
        <v>-17</v>
      </c>
      <c r="X32" s="9"/>
      <c r="Y32" s="9">
        <f>V32-W32</f>
        <v>23</v>
      </c>
      <c r="Z32" s="9"/>
      <c r="AA32" s="9">
        <f>+ROUND(AA31/AA23*100,0)</f>
        <v>2</v>
      </c>
      <c r="AB32" s="9">
        <f>+ROUND(AB31/AB23*100,0)</f>
        <v>1</v>
      </c>
      <c r="AC32" s="9"/>
      <c r="AD32" s="9">
        <f>AA32-AB32</f>
        <v>1</v>
      </c>
      <c r="AE32" s="9"/>
      <c r="AF32" s="9">
        <f>+ROUND(AF31/AF23*100,0)</f>
        <v>2</v>
      </c>
      <c r="AG32" s="9">
        <f>+ROUND(AG31/AG23*100,0)</f>
        <v>-1</v>
      </c>
      <c r="AH32" s="9"/>
      <c r="AI32" s="9">
        <f>AF32-AG32</f>
        <v>3</v>
      </c>
      <c r="AJ32" s="9"/>
      <c r="AK32" s="9">
        <f>ROUND((AK31/AK23*100),0)</f>
        <v>4</v>
      </c>
      <c r="AL32" s="9">
        <f>ROUND((AL31/AL23*100),0)</f>
        <v>-4</v>
      </c>
      <c r="AM32" s="9"/>
      <c r="AN32" s="9">
        <f>AK32-AL32</f>
        <v>8</v>
      </c>
      <c r="AO32" s="11"/>
    </row>
    <row r="33" spans="1:41" s="11" customFormat="1" ht="15" customHeight="1" x14ac:dyDescent="0.25">
      <c r="A33" s="8" t="s">
        <v>33</v>
      </c>
      <c r="B33" s="9">
        <v>0</v>
      </c>
      <c r="C33" s="9">
        <v>0</v>
      </c>
      <c r="D33" s="9">
        <f>B33-C33</f>
        <v>0</v>
      </c>
      <c r="E33" s="9">
        <f>B33-C33</f>
        <v>0</v>
      </c>
      <c r="F33" s="9"/>
      <c r="G33" s="9">
        <v>0</v>
      </c>
      <c r="H33" s="9">
        <v>5934.3619200000003</v>
      </c>
      <c r="I33" s="9">
        <f>G33-H33</f>
        <v>-5934.3619200000003</v>
      </c>
      <c r="J33" s="9">
        <f>G33-H33</f>
        <v>-5934.3619200000003</v>
      </c>
      <c r="K33" s="9"/>
      <c r="L33" s="9">
        <v>0</v>
      </c>
      <c r="M33" s="9">
        <v>0</v>
      </c>
      <c r="N33" s="9">
        <f>L33-M33</f>
        <v>0</v>
      </c>
      <c r="O33" s="9"/>
      <c r="P33" s="9"/>
      <c r="Q33" s="9">
        <v>1887.48432</v>
      </c>
      <c r="R33" s="9">
        <v>716.12851999999998</v>
      </c>
      <c r="S33" s="9">
        <f>Q33-R33</f>
        <v>1171.3558</v>
      </c>
      <c r="T33" s="9">
        <f>S33/R33*100</f>
        <v>163.5678188043677</v>
      </c>
      <c r="U33" s="9"/>
      <c r="V33" s="9">
        <v>524.17795999999998</v>
      </c>
      <c r="W33" s="9">
        <v>2991.4168700000005</v>
      </c>
      <c r="X33" s="9">
        <f>V33-W33</f>
        <v>-2467.2389100000005</v>
      </c>
      <c r="Y33" s="9">
        <f>X33/W33*100</f>
        <v>-82.477268037871298</v>
      </c>
      <c r="Z33" s="9"/>
      <c r="AA33" s="9">
        <v>657.74363999999991</v>
      </c>
      <c r="AB33" s="9">
        <v>632.21278000000007</v>
      </c>
      <c r="AC33" s="9">
        <f>AA33-AB33</f>
        <v>25.530859999999848</v>
      </c>
      <c r="AD33" s="9">
        <f>AC33/AB33*100</f>
        <v>4.0383334231237535</v>
      </c>
      <c r="AE33" s="9"/>
      <c r="AF33" s="9">
        <v>1267.57466</v>
      </c>
      <c r="AG33" s="9">
        <v>1548.0591200000001</v>
      </c>
      <c r="AH33" s="9">
        <f>AF33-AG33</f>
        <v>-280.48446000000013</v>
      </c>
      <c r="AI33" s="9">
        <f>AF33-AG33</f>
        <v>-280.48446000000013</v>
      </c>
      <c r="AJ33" s="9"/>
      <c r="AK33" s="9">
        <f>+B33+G33+L33+Q33+V33+AA33+AF33</f>
        <v>4336.9805800000004</v>
      </c>
      <c r="AL33" s="9">
        <f>+C33+H33+M33+R33+W33+AB33+AG33</f>
        <v>11822.17921</v>
      </c>
      <c r="AM33" s="9">
        <f>AK33-AL33</f>
        <v>-7485.1986299999999</v>
      </c>
      <c r="AN33" s="9">
        <f>AM33/AL33*100</f>
        <v>-63.314880421272179</v>
      </c>
    </row>
    <row r="34" spans="1:41" s="11" customFormat="1" ht="15" customHeight="1" x14ac:dyDescent="0.25">
      <c r="A34" s="8" t="s">
        <v>34</v>
      </c>
      <c r="B34" s="9">
        <f>+B31-B33</f>
        <v>29358.905459999252</v>
      </c>
      <c r="C34" s="9">
        <f>+C31-C33</f>
        <v>-15043.64058000001</v>
      </c>
      <c r="D34" s="9">
        <f>B34-C34</f>
        <v>44402.546039999259</v>
      </c>
      <c r="E34" s="9">
        <f>D34/C34*100</f>
        <v>-295.15824845636683</v>
      </c>
      <c r="F34" s="9"/>
      <c r="G34" s="9">
        <f>+G31-G33</f>
        <v>158809.21319999988</v>
      </c>
      <c r="H34" s="9">
        <f>+H31-H33</f>
        <v>-31117.399860000336</v>
      </c>
      <c r="I34" s="9">
        <f>G34-H34</f>
        <v>189926.61306000021</v>
      </c>
      <c r="J34" s="9">
        <f>I34/H34*100</f>
        <v>-610.35502295980768</v>
      </c>
      <c r="K34" s="9"/>
      <c r="L34" s="9">
        <f>+L31-L33</f>
        <v>4892.961629999998</v>
      </c>
      <c r="M34" s="9">
        <f>+M31-M33</f>
        <v>-15999.590939999995</v>
      </c>
      <c r="N34" s="9">
        <f>L34-M34</f>
        <v>20892.552569999993</v>
      </c>
      <c r="O34" s="9">
        <f>N34/M34*100</f>
        <v>-130.58179204924099</v>
      </c>
      <c r="P34" s="9"/>
      <c r="Q34" s="9">
        <f>+Q31-Q33</f>
        <v>13818.423960000044</v>
      </c>
      <c r="R34" s="9">
        <f>+R31-R33</f>
        <v>-7150.5080800000169</v>
      </c>
      <c r="S34" s="9">
        <f>Q34-R34</f>
        <v>20968.932040000062</v>
      </c>
      <c r="T34" s="9">
        <f>S34/R34*100</f>
        <v>-293.25093833052506</v>
      </c>
      <c r="U34" s="9"/>
      <c r="V34" s="9">
        <f>+V31-V33</f>
        <v>75842.365439999849</v>
      </c>
      <c r="W34" s="9">
        <f>+W31-W33</f>
        <v>-124259.03697999995</v>
      </c>
      <c r="X34" s="9">
        <f>V34-W34</f>
        <v>200101.40241999979</v>
      </c>
      <c r="Y34" s="9">
        <f>X34/W34*100</f>
        <v>-161.03569388857167</v>
      </c>
      <c r="Z34" s="9"/>
      <c r="AA34" s="9">
        <f>+AA31-AA33</f>
        <v>11472.871689999974</v>
      </c>
      <c r="AB34" s="9">
        <f>+AB31-AB33</f>
        <v>1531.9270700000168</v>
      </c>
      <c r="AC34" s="9">
        <f>AA34-AB34</f>
        <v>9940.9446199999584</v>
      </c>
      <c r="AD34" s="9">
        <f>AC34/AB34*100</f>
        <v>648.91761590190117</v>
      </c>
      <c r="AE34" s="9"/>
      <c r="AF34" s="9">
        <f>+AF31-AF33</f>
        <v>11974.665590000088</v>
      </c>
      <c r="AG34" s="9">
        <f>+AG31-AG33</f>
        <v>-8642.5878799998463</v>
      </c>
      <c r="AH34" s="9">
        <f>AF34-AG34</f>
        <v>20617.253469999934</v>
      </c>
      <c r="AI34" s="9">
        <f>AH34/AG34*100</f>
        <v>-238.55416637082897</v>
      </c>
      <c r="AJ34" s="9"/>
      <c r="AK34" s="9">
        <f>AK31-AK33</f>
        <v>306169.4069699996</v>
      </c>
      <c r="AL34" s="9">
        <f>AL31-AL33</f>
        <v>-200680.83725000217</v>
      </c>
      <c r="AM34" s="9">
        <f>AK34-AL34</f>
        <v>506850.24422000174</v>
      </c>
      <c r="AN34" s="9">
        <f>AM34/AL34*100</f>
        <v>-252.56534264334513</v>
      </c>
    </row>
    <row r="35" spans="1:41" ht="15" customHeight="1" x14ac:dyDescent="0.25">
      <c r="A35" s="14" t="s">
        <v>26</v>
      </c>
      <c r="B35" s="9">
        <f>+ROUND(B34/B23*100,0)</f>
        <v>1</v>
      </c>
      <c r="C35" s="9">
        <f>+ROUND(C34/C23*100,0)</f>
        <v>-1</v>
      </c>
      <c r="D35" s="9"/>
      <c r="E35" s="9">
        <f>B35-C35</f>
        <v>2</v>
      </c>
      <c r="F35" s="9"/>
      <c r="G35" s="9">
        <f>+ROUND(G34/G23*100,0)</f>
        <v>8</v>
      </c>
      <c r="H35" s="9">
        <f>+ROUND(H34/H23*100,0)</f>
        <v>-2</v>
      </c>
      <c r="I35" s="9"/>
      <c r="J35" s="9">
        <f>G35-H35</f>
        <v>10</v>
      </c>
      <c r="K35" s="9"/>
      <c r="L35" s="9">
        <f>+ROUND(L34/L23*100,0)</f>
        <v>4</v>
      </c>
      <c r="M35" s="9">
        <f>+ROUND(M34/M23*100,0)</f>
        <v>-28</v>
      </c>
      <c r="N35" s="9"/>
      <c r="O35" s="9">
        <f>L35-M35</f>
        <v>32</v>
      </c>
      <c r="P35" s="9"/>
      <c r="Q35" s="9">
        <f>+ROUND(Q34/Q23*100,0)</f>
        <v>6</v>
      </c>
      <c r="R35" s="9">
        <f>+ROUND(R34/R23*100,0)</f>
        <v>-7</v>
      </c>
      <c r="S35" s="9"/>
      <c r="T35" s="9">
        <f>Q35-R35</f>
        <v>13</v>
      </c>
      <c r="U35" s="9"/>
      <c r="V35" s="9">
        <f>+ROUND(V34/V23*100,0)</f>
        <v>6</v>
      </c>
      <c r="W35" s="9">
        <f>+ROUND(W34/W23*100,0)</f>
        <v>-18</v>
      </c>
      <c r="X35" s="9"/>
      <c r="Y35" s="9">
        <f>V35-W35</f>
        <v>24</v>
      </c>
      <c r="Z35" s="9"/>
      <c r="AA35" s="9">
        <f>+ROUND(AA34/AA23*100,0)</f>
        <v>2</v>
      </c>
      <c r="AB35" s="9">
        <f>+ROUND(AB34/AB23*100,0)</f>
        <v>0</v>
      </c>
      <c r="AC35" s="9"/>
      <c r="AD35" s="9">
        <f>AA35-AB35</f>
        <v>2</v>
      </c>
      <c r="AE35" s="9"/>
      <c r="AF35" s="9">
        <f>+ROUND(AF34/AF23*100,0)</f>
        <v>1</v>
      </c>
      <c r="AG35" s="9">
        <f>+ROUND(AG34/AG23*100,0)</f>
        <v>-1</v>
      </c>
      <c r="AH35" s="9"/>
      <c r="AI35" s="9">
        <f>AF35-AG35</f>
        <v>2</v>
      </c>
      <c r="AJ35" s="9"/>
      <c r="AK35" s="9">
        <f>ROUND((AK34/AK23*100),0)</f>
        <v>4</v>
      </c>
      <c r="AL35" s="9">
        <f>ROUND((AL34/AL23*100),0)</f>
        <v>-4</v>
      </c>
      <c r="AM35" s="9"/>
      <c r="AN35" s="9">
        <f>AK35-AL35</f>
        <v>8</v>
      </c>
      <c r="AO35" s="11"/>
    </row>
    <row r="36" spans="1:41" ht="9.9" customHeight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1"/>
    </row>
    <row r="37" spans="1:41" ht="15.6" x14ac:dyDescent="0.3">
      <c r="A37" s="1" t="s">
        <v>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1"/>
    </row>
    <row r="38" spans="1:41" ht="9.9" customHeight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1"/>
    </row>
    <row r="39" spans="1:41" s="11" customFormat="1" ht="15" customHeight="1" x14ac:dyDescent="0.25">
      <c r="A39" s="8" t="s">
        <v>36</v>
      </c>
      <c r="B39" s="9">
        <v>231974.09</v>
      </c>
      <c r="C39" s="9">
        <v>161562.18859000001</v>
      </c>
      <c r="D39" s="9">
        <f>B39-C39</f>
        <v>70411.901409999991</v>
      </c>
      <c r="E39" s="9">
        <f>D39/C39*100</f>
        <v>43.581918532117598</v>
      </c>
      <c r="F39" s="9"/>
      <c r="G39" s="9">
        <v>223258.28</v>
      </c>
      <c r="H39" s="9">
        <v>28673.40193</v>
      </c>
      <c r="I39" s="9">
        <f>G39-H39</f>
        <v>194584.87807000001</v>
      </c>
      <c r="J39" s="9">
        <f>I39/H39*100</f>
        <v>678.62501472632198</v>
      </c>
      <c r="K39" s="9"/>
      <c r="L39" s="9">
        <v>33071.75</v>
      </c>
      <c r="M39" s="9">
        <v>27153.797850000003</v>
      </c>
      <c r="N39" s="9">
        <f>L39-M39</f>
        <v>5917.9521499999973</v>
      </c>
      <c r="O39" s="9">
        <f>N39/M39*100</f>
        <v>21.794196829081855</v>
      </c>
      <c r="P39" s="9"/>
      <c r="Q39" s="9">
        <v>65384.5</v>
      </c>
      <c r="R39" s="9">
        <v>25696.991489999997</v>
      </c>
      <c r="S39" s="9">
        <f>Q39-R39</f>
        <v>39687.50851</v>
      </c>
      <c r="T39" s="9">
        <f>S39/R39*100</f>
        <v>154.44418279643523</v>
      </c>
      <c r="U39" s="9"/>
      <c r="V39" s="9">
        <v>187437.43</v>
      </c>
      <c r="W39" s="9">
        <v>24136.32055</v>
      </c>
      <c r="X39" s="9">
        <f>V39-W39</f>
        <v>163301.10944999999</v>
      </c>
      <c r="Y39" s="9">
        <f>X39/W39*100</f>
        <v>676.57830907453706</v>
      </c>
      <c r="Z39" s="9"/>
      <c r="AA39" s="9">
        <v>26656.48</v>
      </c>
      <c r="AB39" s="9">
        <v>11192.065990000001</v>
      </c>
      <c r="AC39" s="9">
        <f>AA39-AB39</f>
        <v>15464.414009999999</v>
      </c>
      <c r="AD39" s="9">
        <f>AC39/AB39*100</f>
        <v>138.17300598314287</v>
      </c>
      <c r="AE39" s="9"/>
      <c r="AF39" s="9">
        <v>26547.279999999999</v>
      </c>
      <c r="AG39" s="9">
        <v>15355.9041</v>
      </c>
      <c r="AH39" s="9">
        <f>AF39-AG39</f>
        <v>11191.375899999999</v>
      </c>
      <c r="AI39" s="9">
        <f>AH39/AG39*100</f>
        <v>72.879954362309405</v>
      </c>
      <c r="AJ39" s="9"/>
      <c r="AK39" s="9">
        <f t="shared" ref="AK39:AL41" si="17">+B39+G39+L39+Q39+V39+AA39+AF39</f>
        <v>794329.81</v>
      </c>
      <c r="AL39" s="9">
        <f t="shared" si="17"/>
        <v>293770.67049999995</v>
      </c>
      <c r="AM39" s="9">
        <f>AK39-AL39</f>
        <v>500559.13950000011</v>
      </c>
      <c r="AN39" s="9">
        <f>AM39/AL39*100</f>
        <v>170.39112129473122</v>
      </c>
    </row>
    <row r="40" spans="1:41" s="11" customFormat="1" ht="15" customHeight="1" x14ac:dyDescent="0.25">
      <c r="A40" s="8" t="s">
        <v>37</v>
      </c>
      <c r="B40" s="9">
        <v>13852.44</v>
      </c>
      <c r="C40" s="9">
        <v>12913.18309</v>
      </c>
      <c r="D40" s="9">
        <f>B40-C40</f>
        <v>939.25691000000006</v>
      </c>
      <c r="E40" s="9">
        <f>D40/C40*100</f>
        <v>7.2736280702731051</v>
      </c>
      <c r="F40" s="9"/>
      <c r="G40" s="9">
        <v>143.16999999999999</v>
      </c>
      <c r="H40" s="9">
        <v>942.74721999999997</v>
      </c>
      <c r="I40" s="9">
        <f>G40-H40</f>
        <v>-799.57722000000001</v>
      </c>
      <c r="J40" s="9">
        <f>I40/H40*100</f>
        <v>-84.813532518292661</v>
      </c>
      <c r="K40" s="9"/>
      <c r="L40" s="9">
        <v>41068.03</v>
      </c>
      <c r="M40" s="9">
        <v>41033.21011</v>
      </c>
      <c r="N40" s="9">
        <f>L40-M40</f>
        <v>34.81988999999885</v>
      </c>
      <c r="O40" s="9">
        <f>N40/M40*100</f>
        <v>8.4857825908953355E-2</v>
      </c>
      <c r="P40" s="9"/>
      <c r="Q40" s="9">
        <v>53062.239999999998</v>
      </c>
      <c r="R40" s="9">
        <v>23282.675480000002</v>
      </c>
      <c r="S40" s="9">
        <f>Q40-R40</f>
        <v>29779.564519999996</v>
      </c>
      <c r="T40" s="9">
        <f>S40/R40*100</f>
        <v>127.90439202565389</v>
      </c>
      <c r="U40" s="9"/>
      <c r="V40" s="9">
        <v>25972.1</v>
      </c>
      <c r="W40" s="9">
        <v>34237.307079999999</v>
      </c>
      <c r="X40" s="9">
        <f>V40-W40</f>
        <v>-8265.2070800000001</v>
      </c>
      <c r="Y40" s="9">
        <f>X40/W40*100</f>
        <v>-24.140938014450875</v>
      </c>
      <c r="Z40" s="9"/>
      <c r="AA40" s="9">
        <v>0</v>
      </c>
      <c r="AB40" s="9">
        <v>0</v>
      </c>
      <c r="AC40" s="9">
        <f>AA40-AB40</f>
        <v>0</v>
      </c>
      <c r="AD40" s="9"/>
      <c r="AE40" s="9"/>
      <c r="AF40" s="9">
        <v>0</v>
      </c>
      <c r="AG40" s="9">
        <v>0</v>
      </c>
      <c r="AH40" s="9">
        <f>AF40-AG40</f>
        <v>0</v>
      </c>
      <c r="AI40" s="9"/>
      <c r="AJ40" s="9"/>
      <c r="AK40" s="9">
        <f t="shared" si="17"/>
        <v>134097.98000000001</v>
      </c>
      <c r="AL40" s="9">
        <f t="shared" si="17"/>
        <v>112409.12298</v>
      </c>
      <c r="AM40" s="9">
        <f>AK40-AL40</f>
        <v>21688.85702000001</v>
      </c>
      <c r="AN40" s="9">
        <f>AM40/AL40*100</f>
        <v>19.294570089172321</v>
      </c>
    </row>
    <row r="41" spans="1:41" s="11" customFormat="1" ht="15" customHeight="1" x14ac:dyDescent="0.25">
      <c r="A41" s="8" t="s">
        <v>38</v>
      </c>
      <c r="B41" s="9">
        <v>84254.52</v>
      </c>
      <c r="C41" s="9">
        <v>31620.163530000002</v>
      </c>
      <c r="D41" s="9">
        <f>B41-C41</f>
        <v>52634.356469999999</v>
      </c>
      <c r="E41" s="9">
        <f>D41/C41*100</f>
        <v>166.45820449366914</v>
      </c>
      <c r="F41" s="9"/>
      <c r="G41" s="9">
        <v>4123.97</v>
      </c>
      <c r="H41" s="9">
        <v>4121.9293399999997</v>
      </c>
      <c r="I41" s="9">
        <f>G41-H41</f>
        <v>2.040660000000571</v>
      </c>
      <c r="J41" s="9">
        <f>I41/H41*100</f>
        <v>4.9507398882305223E-2</v>
      </c>
      <c r="K41" s="9"/>
      <c r="L41" s="9">
        <v>1716.83</v>
      </c>
      <c r="M41" s="9">
        <v>447.27671999999995</v>
      </c>
      <c r="N41" s="9">
        <f>L41-M41</f>
        <v>1269.5532800000001</v>
      </c>
      <c r="O41" s="9">
        <f>N41/M41*100</f>
        <v>283.84067921084744</v>
      </c>
      <c r="P41" s="9"/>
      <c r="Q41" s="9">
        <v>11673.46</v>
      </c>
      <c r="R41" s="9">
        <v>12669.000699999999</v>
      </c>
      <c r="S41" s="9">
        <f>Q41-R41</f>
        <v>-995.54069999999956</v>
      </c>
      <c r="T41" s="9">
        <f>S41/R41*100</f>
        <v>-7.8580838660779282</v>
      </c>
      <c r="U41" s="9"/>
      <c r="V41" s="9">
        <v>24010.49</v>
      </c>
      <c r="W41" s="9">
        <v>12465.440929999999</v>
      </c>
      <c r="X41" s="9">
        <f>V41-W41</f>
        <v>11545.049070000003</v>
      </c>
      <c r="Y41" s="9">
        <f>X41/W41*100</f>
        <v>92.616451634815959</v>
      </c>
      <c r="Z41" s="9"/>
      <c r="AA41" s="9">
        <v>806.45</v>
      </c>
      <c r="AB41" s="9">
        <v>1775.57734</v>
      </c>
      <c r="AC41" s="9">
        <f>AA41-AB41</f>
        <v>-969.12734</v>
      </c>
      <c r="AD41" s="9">
        <f>AC41/AB41*100</f>
        <v>-54.580970266268437</v>
      </c>
      <c r="AE41" s="9"/>
      <c r="AF41" s="9">
        <v>69990.22</v>
      </c>
      <c r="AG41" s="9">
        <v>51115.766299999996</v>
      </c>
      <c r="AH41" s="9">
        <f>AF41-AG41</f>
        <v>18874.453700000005</v>
      </c>
      <c r="AI41" s="9">
        <f>AH41/AG41*100</f>
        <v>36.92491586495106</v>
      </c>
      <c r="AJ41" s="9"/>
      <c r="AK41" s="9">
        <f t="shared" si="17"/>
        <v>196575.94</v>
      </c>
      <c r="AL41" s="9">
        <f t="shared" si="17"/>
        <v>114215.15486</v>
      </c>
      <c r="AM41" s="9">
        <f>AK41-AL41</f>
        <v>82360.785140000007</v>
      </c>
      <c r="AN41" s="9">
        <f>AM41/AL41*100</f>
        <v>72.110207477242668</v>
      </c>
    </row>
    <row r="42" spans="1:41" s="11" customFormat="1" ht="15" customHeight="1" x14ac:dyDescent="0.25">
      <c r="A42" s="8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1" s="11" customFormat="1" ht="15" hidden="1" customHeight="1" x14ac:dyDescent="0.25">
      <c r="A43" s="8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1" s="11" customFormat="1" ht="15" hidden="1" customHeight="1" x14ac:dyDescent="0.25">
      <c r="A44" s="8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1" s="11" customFormat="1" ht="15" hidden="1" customHeight="1" x14ac:dyDescent="0.25">
      <c r="A45" s="8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1" s="11" customFormat="1" ht="15" hidden="1" customHeight="1" x14ac:dyDescent="0.25">
      <c r="A46" s="8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1" s="11" customFormat="1" ht="15" hidden="1" customHeight="1" x14ac:dyDescent="0.25">
      <c r="A47" s="8" t="s">
        <v>44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1" s="11" customFormat="1" ht="15" customHeight="1" x14ac:dyDescent="0.25">
      <c r="A48" s="8" t="s">
        <v>45</v>
      </c>
      <c r="B48" s="9">
        <v>534009.05000000005</v>
      </c>
      <c r="C48" s="9">
        <v>509465.62383999996</v>
      </c>
      <c r="D48" s="9">
        <f>B48-C48</f>
        <v>24543.42616000009</v>
      </c>
      <c r="E48" s="9">
        <f>D48/C48*100</f>
        <v>4.8174842445715367</v>
      </c>
      <c r="F48" s="9"/>
      <c r="G48" s="9">
        <v>541366.07999999996</v>
      </c>
      <c r="H48" s="9">
        <v>477513.96424</v>
      </c>
      <c r="I48" s="9">
        <f>G48-H48</f>
        <v>63852.115759999957</v>
      </c>
      <c r="J48" s="9">
        <f>I48/H48*100</f>
        <v>13.371779789021559</v>
      </c>
      <c r="K48" s="9"/>
      <c r="L48" s="9">
        <v>25014.93</v>
      </c>
      <c r="M48" s="9">
        <v>19710.678520000001</v>
      </c>
      <c r="N48" s="9">
        <f>L48-M48</f>
        <v>5304.251479999999</v>
      </c>
      <c r="O48" s="9">
        <f>N48/M48*100</f>
        <v>26.910547369629562</v>
      </c>
      <c r="P48" s="9"/>
      <c r="Q48" s="9">
        <v>51675.02</v>
      </c>
      <c r="R48" s="9">
        <v>38764.355630000005</v>
      </c>
      <c r="S48" s="9">
        <f>Q48-R48</f>
        <v>12910.664369999991</v>
      </c>
      <c r="T48" s="9">
        <f>S48/R48*100</f>
        <v>33.305504915986113</v>
      </c>
      <c r="U48" s="9"/>
      <c r="V48" s="9">
        <v>354001.32</v>
      </c>
      <c r="W48" s="9">
        <v>317183.95481000002</v>
      </c>
      <c r="X48" s="9">
        <f>V48-W48</f>
        <v>36817.365189999982</v>
      </c>
      <c r="Y48" s="9">
        <f>X48/W48*100</f>
        <v>11.607574920381571</v>
      </c>
      <c r="Z48" s="9"/>
      <c r="AA48" s="9">
        <v>107085.1</v>
      </c>
      <c r="AB48" s="9">
        <v>104611.50676</v>
      </c>
      <c r="AC48" s="9">
        <f>AA48-AB48</f>
        <v>2473.593240000002</v>
      </c>
      <c r="AD48" s="9">
        <f>AC48/AB48*100</f>
        <v>2.3645517750498768</v>
      </c>
      <c r="AE48" s="9"/>
      <c r="AF48" s="9">
        <v>192041.83</v>
      </c>
      <c r="AG48" s="9">
        <v>146331.45845999999</v>
      </c>
      <c r="AH48" s="9">
        <f>AF48-AG48</f>
        <v>45710.371539999993</v>
      </c>
      <c r="AI48" s="9">
        <f>AH48/AG48*100</f>
        <v>31.237556176271568</v>
      </c>
      <c r="AJ48" s="9"/>
      <c r="AK48" s="9">
        <f>+B48+G48+L48+Q48+V48+AA48+AF48</f>
        <v>1805193.33</v>
      </c>
      <c r="AL48" s="9">
        <f>+C48+H48+M48+R48+W48+AB48+AG48</f>
        <v>1613581.54226</v>
      </c>
      <c r="AM48" s="9">
        <f>AK48-AL48</f>
        <v>191611.78774000006</v>
      </c>
      <c r="AN48" s="9">
        <f>AM48/AL48*100</f>
        <v>11.87493676158606</v>
      </c>
    </row>
    <row r="49" spans="1:47" ht="15" customHeight="1" x14ac:dyDescent="0.25">
      <c r="A49" s="14" t="s">
        <v>46</v>
      </c>
      <c r="B49" s="10">
        <f>B48/(B14/6)</f>
        <v>1.270500069406219</v>
      </c>
      <c r="C49" s="10">
        <f>C48/(C14/6)</f>
        <v>1.3544486726613458</v>
      </c>
      <c r="D49" s="10">
        <f>B49-C49</f>
        <v>-8.3948603255126875E-2</v>
      </c>
      <c r="E49" s="9">
        <f>D49/C49*100</f>
        <v>-6.1979907359779762</v>
      </c>
      <c r="F49" s="10"/>
      <c r="G49" s="10">
        <f>G48/(G14/6)</f>
        <v>1.521797471353358</v>
      </c>
      <c r="H49" s="10">
        <f>H48/(H14/6)</f>
        <v>1.7807579327800493</v>
      </c>
      <c r="I49" s="10">
        <f>G49-H49</f>
        <v>-0.25896046142669138</v>
      </c>
      <c r="J49" s="9">
        <f>I49/H49*100</f>
        <v>-14.542148411065195</v>
      </c>
      <c r="K49" s="10"/>
      <c r="L49" s="10">
        <f>L48/(L14/6)</f>
        <v>1.277172743807552</v>
      </c>
      <c r="M49" s="10">
        <f>M48/(M14/6)</f>
        <v>1.9039075141220279</v>
      </c>
      <c r="N49" s="10">
        <f>L49-M49</f>
        <v>-0.62673477031447589</v>
      </c>
      <c r="O49" s="9">
        <f>N49/M49*100</f>
        <v>-32.91834113084478</v>
      </c>
      <c r="P49" s="10"/>
      <c r="Q49" s="10">
        <f>Q48/(Q14/6)</f>
        <v>1.0792284398854544</v>
      </c>
      <c r="R49" s="10">
        <f>R48/(R14/6)</f>
        <v>1.8576291138653969</v>
      </c>
      <c r="S49" s="10">
        <f>Q49-R49</f>
        <v>-0.7784006739799425</v>
      </c>
      <c r="T49" s="9">
        <f>S49/R49*100</f>
        <v>-41.902910983141766</v>
      </c>
      <c r="U49" s="10"/>
      <c r="V49" s="10">
        <f>V48/(V14/6)</f>
        <v>1.4459782075209158</v>
      </c>
      <c r="W49" s="10">
        <f>W48/(W14/6)</f>
        <v>2.3789933873075348</v>
      </c>
      <c r="X49" s="10">
        <f>V49-W49</f>
        <v>-0.93301517978661908</v>
      </c>
      <c r="Y49" s="9">
        <f>X49/W49*100</f>
        <v>-39.218905977816718</v>
      </c>
      <c r="Z49" s="10"/>
      <c r="AA49" s="10">
        <f>AA48/(AA14/6)</f>
        <v>1.1162675700759299</v>
      </c>
      <c r="AB49" s="10">
        <f>AB48/(AB14/6)</f>
        <v>1.2829305627380498</v>
      </c>
      <c r="AC49" s="10">
        <f>AA49-AB49</f>
        <v>-0.16666299266211992</v>
      </c>
      <c r="AD49" s="9">
        <f>AC49/AB49*100</f>
        <v>-12.990803828573952</v>
      </c>
      <c r="AE49" s="10"/>
      <c r="AF49" s="10">
        <f>AF48/(AF14/6)</f>
        <v>1.2423997384033367</v>
      </c>
      <c r="AG49" s="10">
        <f>AG48/(AG14/6)</f>
        <v>1.1950974985879181</v>
      </c>
      <c r="AH49" s="10">
        <f>AF49-AG49</f>
        <v>4.730223981541859E-2</v>
      </c>
      <c r="AI49" s="9">
        <f>AH49/AG49*100</f>
        <v>3.9580234977739575</v>
      </c>
      <c r="AJ49" s="10"/>
      <c r="AK49" s="10">
        <f>AK48/(AK14/6)</f>
        <v>1.348320894256738</v>
      </c>
      <c r="AL49" s="10">
        <f>AL48/(AL14/6)</f>
        <v>1.5931477451099145</v>
      </c>
      <c r="AM49" s="10">
        <f>AK49-AL49</f>
        <v>-0.24482685085317657</v>
      </c>
      <c r="AN49" s="9">
        <f>AM49/AL49*100</f>
        <v>-15.367491910568877</v>
      </c>
      <c r="AO49" s="18"/>
      <c r="AP49" s="18"/>
      <c r="AQ49" s="18"/>
      <c r="AR49" s="18"/>
      <c r="AS49" s="18"/>
      <c r="AT49" s="18"/>
      <c r="AU49" s="18"/>
    </row>
    <row r="50" spans="1:47" ht="15" customHeight="1" x14ac:dyDescent="0.25">
      <c r="A50" s="14" t="s">
        <v>47</v>
      </c>
      <c r="B50" s="21"/>
      <c r="C50" s="21"/>
      <c r="D50" s="9"/>
      <c r="E50" s="9"/>
      <c r="F50" s="9"/>
      <c r="G50" s="21"/>
      <c r="H50" s="21"/>
      <c r="I50" s="9"/>
      <c r="J50" s="9"/>
      <c r="K50" s="9"/>
      <c r="L50" s="21"/>
      <c r="M50" s="21"/>
      <c r="N50" s="9"/>
      <c r="O50" s="9"/>
      <c r="P50" s="9"/>
      <c r="Q50" s="21"/>
      <c r="R50" s="21"/>
      <c r="S50" s="9"/>
      <c r="T50" s="9"/>
      <c r="U50" s="9"/>
      <c r="V50" s="21"/>
      <c r="W50" s="21"/>
      <c r="X50" s="9"/>
      <c r="Y50" s="9"/>
      <c r="Z50" s="9"/>
      <c r="AA50" s="21"/>
      <c r="AB50" s="21"/>
      <c r="AC50" s="9"/>
      <c r="AD50" s="9"/>
      <c r="AE50" s="9"/>
      <c r="AF50" s="21"/>
      <c r="AG50" s="21"/>
      <c r="AH50" s="9"/>
      <c r="AI50" s="9"/>
      <c r="AJ50" s="9"/>
      <c r="AK50" s="21" t="s">
        <v>27</v>
      </c>
      <c r="AL50" s="21" t="s">
        <v>27</v>
      </c>
      <c r="AM50" s="9"/>
      <c r="AN50" s="9"/>
      <c r="AO50" s="11"/>
    </row>
    <row r="51" spans="1:47" s="11" customFormat="1" ht="15" customHeight="1" x14ac:dyDescent="0.25">
      <c r="A51" s="8" t="s">
        <v>45</v>
      </c>
      <c r="B51" s="9">
        <v>372993.63</v>
      </c>
      <c r="C51" s="9">
        <v>357029.46113000001</v>
      </c>
      <c r="D51" s="9">
        <f t="shared" ref="D51:D56" si="18">B51-C51</f>
        <v>15964.168869999994</v>
      </c>
      <c r="E51" s="9">
        <f t="shared" ref="E51:E56" si="19">D51/C51*100</f>
        <v>4.4713869884780157</v>
      </c>
      <c r="F51" s="9"/>
      <c r="G51" s="9">
        <v>446478.45</v>
      </c>
      <c r="H51" s="9">
        <v>312155.06770000007</v>
      </c>
      <c r="I51" s="9">
        <f t="shared" ref="I51:I56" si="20">G51-H51</f>
        <v>134323.38229999994</v>
      </c>
      <c r="J51" s="9">
        <f t="shared" ref="J51:J56" si="21">I51/H51*100</f>
        <v>43.030979214821798</v>
      </c>
      <c r="K51" s="9"/>
      <c r="L51" s="9">
        <v>17033.169999999998</v>
      </c>
      <c r="M51" s="9">
        <v>10986.79478</v>
      </c>
      <c r="N51" s="9">
        <f t="shared" ref="N51:N56" si="22">L51-M51</f>
        <v>6046.3752199999981</v>
      </c>
      <c r="O51" s="9">
        <f t="shared" ref="O51:O56" si="23">N51/M51*100</f>
        <v>55.033113306226674</v>
      </c>
      <c r="P51" s="9"/>
      <c r="Q51" s="9">
        <v>32368.7</v>
      </c>
      <c r="R51" s="9">
        <v>22630.334729999999</v>
      </c>
      <c r="S51" s="9">
        <f t="shared" ref="S51:S56" si="24">Q51-R51</f>
        <v>9738.3652700000021</v>
      </c>
      <c r="T51" s="9">
        <f t="shared" ref="T51:T56" si="25">S51/R51*100</f>
        <v>43.032351868354368</v>
      </c>
      <c r="U51" s="9"/>
      <c r="V51" s="9">
        <v>298744.34000000003</v>
      </c>
      <c r="W51" s="9">
        <v>316679.90775000001</v>
      </c>
      <c r="X51" s="9">
        <f t="shared" ref="X51:X56" si="26">V51-W51</f>
        <v>-17935.567749999987</v>
      </c>
      <c r="Y51" s="9">
        <f t="shared" ref="Y51:Y56" si="27">X51/W51*100</f>
        <v>-5.6636266814120244</v>
      </c>
      <c r="Z51" s="9"/>
      <c r="AA51" s="9">
        <v>67017.97</v>
      </c>
      <c r="AB51" s="9">
        <v>77099.729919999998</v>
      </c>
      <c r="AC51" s="9">
        <f t="shared" ref="AC51:AC56" si="28">AA51-AB51</f>
        <v>-10081.759919999997</v>
      </c>
      <c r="AD51" s="9">
        <f t="shared" ref="AD51:AD56" si="29">AC51/AB51*100</f>
        <v>-13.076258412916625</v>
      </c>
      <c r="AE51" s="9"/>
      <c r="AF51" s="9">
        <v>137360.59</v>
      </c>
      <c r="AG51" s="9">
        <v>129344.79273</v>
      </c>
      <c r="AH51" s="9">
        <f t="shared" ref="AH51:AH56" si="30">AF51-AG51</f>
        <v>8015.7972699999955</v>
      </c>
      <c r="AI51" s="9">
        <f t="shared" ref="AI51:AI56" si="31">AH51/AG51*100</f>
        <v>6.1972322973469236</v>
      </c>
      <c r="AJ51" s="9"/>
      <c r="AK51" s="9">
        <f>+B51+G51+L51+Q51+V51+AA51+AF51</f>
        <v>1371996.85</v>
      </c>
      <c r="AL51" s="9">
        <f>+C51+H51+M51+R51+W51+AB51+AG51</f>
        <v>1225926.0887400003</v>
      </c>
      <c r="AM51" s="9">
        <f t="shared" ref="AM51:AM56" si="32">AK51-AL51</f>
        <v>146070.76125999982</v>
      </c>
      <c r="AN51" s="9">
        <f t="shared" ref="AN51:AN56" si="33">AM51/AL51*100</f>
        <v>11.915136042999992</v>
      </c>
    </row>
    <row r="52" spans="1:47" ht="15" customHeight="1" x14ac:dyDescent="0.25">
      <c r="A52" s="14" t="s">
        <v>48</v>
      </c>
      <c r="B52" s="10">
        <f>B51/(B24/6)</f>
        <v>1.1244391339206288</v>
      </c>
      <c r="C52" s="10">
        <f>C51/(C24/6)</f>
        <v>1.1846382550078021</v>
      </c>
      <c r="D52" s="10">
        <f t="shared" si="18"/>
        <v>-6.0199121087173291E-2</v>
      </c>
      <c r="E52" s="9">
        <f t="shared" si="19"/>
        <v>-5.0816458807314824</v>
      </c>
      <c r="F52" s="10"/>
      <c r="G52" s="10">
        <f>G51/(G24/6)</f>
        <v>1.754510514100343</v>
      </c>
      <c r="H52" s="10">
        <f>H51/(H24/6)</f>
        <v>1.4999135747275645</v>
      </c>
      <c r="I52" s="10">
        <f t="shared" si="20"/>
        <v>0.2545969393727785</v>
      </c>
      <c r="J52" s="9">
        <f t="shared" si="21"/>
        <v>16.974107286082933</v>
      </c>
      <c r="K52" s="10"/>
      <c r="L52" s="10">
        <f>L51/(L24/6)</f>
        <v>1.3595001420802346</v>
      </c>
      <c r="M52" s="10">
        <f>M51/(M24/6)</f>
        <v>1.730466297826784</v>
      </c>
      <c r="N52" s="10">
        <f t="shared" si="22"/>
        <v>-0.37096615574654934</v>
      </c>
      <c r="O52" s="9">
        <f t="shared" si="23"/>
        <v>-21.437352245023746</v>
      </c>
      <c r="P52" s="10"/>
      <c r="Q52" s="10">
        <f>Q51/(Q24/6)</f>
        <v>1.1455009584767919</v>
      </c>
      <c r="R52" s="10">
        <f>R51/(R24/6)</f>
        <v>1.9890403231622211</v>
      </c>
      <c r="S52" s="10">
        <f t="shared" si="24"/>
        <v>-0.84353936468542923</v>
      </c>
      <c r="T52" s="9">
        <f t="shared" si="25"/>
        <v>-42.409364700276733</v>
      </c>
      <c r="U52" s="10"/>
      <c r="V52" s="10">
        <f>V51/(V24/6)</f>
        <v>1.5952014440988296</v>
      </c>
      <c r="W52" s="10">
        <f>W51/(W24/6)</f>
        <v>2.590094256820572</v>
      </c>
      <c r="X52" s="10">
        <f t="shared" si="26"/>
        <v>-0.99489281272174246</v>
      </c>
      <c r="Y52" s="9">
        <f t="shared" si="27"/>
        <v>-38.411452019626765</v>
      </c>
      <c r="Z52" s="10"/>
      <c r="AA52" s="10">
        <f>AA51/(AA24/6)</f>
        <v>0.99586482023417178</v>
      </c>
      <c r="AB52" s="10">
        <f>AB51/(AB24/6)</f>
        <v>1.2714069504117453</v>
      </c>
      <c r="AC52" s="10">
        <f t="shared" si="28"/>
        <v>-0.27554213017757356</v>
      </c>
      <c r="AD52" s="9">
        <f t="shared" si="29"/>
        <v>-21.672221477815519</v>
      </c>
      <c r="AE52" s="10"/>
      <c r="AF52" s="10">
        <f>AF51/(AF24/6)</f>
        <v>1.1866452593581134</v>
      </c>
      <c r="AG52" s="10">
        <f>AG51/(AG24/6)</f>
        <v>1.3808689517666488</v>
      </c>
      <c r="AH52" s="10">
        <f t="shared" si="30"/>
        <v>-0.19422369240853543</v>
      </c>
      <c r="AI52" s="9">
        <f t="shared" si="31"/>
        <v>-14.065324023691788</v>
      </c>
      <c r="AJ52" s="10"/>
      <c r="AK52" s="10">
        <f>AK51/(AK24/6)</f>
        <v>1.3757048161909373</v>
      </c>
      <c r="AL52" s="10">
        <f>AL51/(AL24/6)</f>
        <v>1.5251615847742088</v>
      </c>
      <c r="AM52" s="10">
        <f t="shared" si="32"/>
        <v>-0.1494567685832715</v>
      </c>
      <c r="AN52" s="9">
        <f t="shared" si="33"/>
        <v>-9.7994055236709698</v>
      </c>
      <c r="AO52" s="18"/>
      <c r="AP52" s="18"/>
      <c r="AQ52" s="18"/>
      <c r="AR52" s="18"/>
      <c r="AS52" s="18"/>
      <c r="AT52" s="18"/>
    </row>
    <row r="53" spans="1:47" s="11" customFormat="1" ht="15" customHeight="1" x14ac:dyDescent="0.25">
      <c r="A53" s="8" t="s">
        <v>49</v>
      </c>
      <c r="B53" s="9">
        <v>329197.81003333337</v>
      </c>
      <c r="C53" s="9">
        <v>281071.61217166664</v>
      </c>
      <c r="D53" s="9">
        <f t="shared" si="18"/>
        <v>48126.197861666733</v>
      </c>
      <c r="E53" s="9">
        <f t="shared" si="19"/>
        <v>17.122397203269781</v>
      </c>
      <c r="F53" s="9"/>
      <c r="G53" s="9">
        <v>320707.28821500001</v>
      </c>
      <c r="H53" s="9">
        <v>219704.74832499996</v>
      </c>
      <c r="I53" s="9">
        <f t="shared" si="20"/>
        <v>101002.53989000004</v>
      </c>
      <c r="J53" s="9">
        <f t="shared" si="21"/>
        <v>45.971942190612666</v>
      </c>
      <c r="K53" s="9"/>
      <c r="L53" s="9">
        <v>11801.149546666666</v>
      </c>
      <c r="M53" s="9">
        <v>5702.2350416666668</v>
      </c>
      <c r="N53" s="9">
        <f t="shared" si="22"/>
        <v>6098.9145049999988</v>
      </c>
      <c r="O53" s="9">
        <f t="shared" si="23"/>
        <v>106.95656107534614</v>
      </c>
      <c r="P53" s="9"/>
      <c r="Q53" s="9">
        <v>27614.525850000002</v>
      </c>
      <c r="R53" s="9">
        <v>9984.532369999999</v>
      </c>
      <c r="S53" s="9">
        <f t="shared" si="24"/>
        <v>17629.993480000005</v>
      </c>
      <c r="T53" s="9">
        <f t="shared" si="25"/>
        <v>176.57305146279981</v>
      </c>
      <c r="U53" s="9"/>
      <c r="V53" s="9">
        <v>190626.36049999998</v>
      </c>
      <c r="W53" s="9">
        <v>93996.083333333328</v>
      </c>
      <c r="X53" s="9">
        <f t="shared" si="26"/>
        <v>96630.277166666652</v>
      </c>
      <c r="Y53" s="9">
        <f t="shared" si="27"/>
        <v>102.80245063402464</v>
      </c>
      <c r="Z53" s="9"/>
      <c r="AA53" s="9">
        <v>69846.911198333342</v>
      </c>
      <c r="AB53" s="9">
        <v>56868.096548333342</v>
      </c>
      <c r="AC53" s="9">
        <f t="shared" si="28"/>
        <v>12978.81465</v>
      </c>
      <c r="AD53" s="9">
        <f t="shared" si="29"/>
        <v>22.822664090698101</v>
      </c>
      <c r="AE53" s="9"/>
      <c r="AF53" s="9">
        <v>116959.87652666665</v>
      </c>
      <c r="AG53" s="9">
        <v>85716.168818333346</v>
      </c>
      <c r="AH53" s="9">
        <f t="shared" si="30"/>
        <v>31243.707708333299</v>
      </c>
      <c r="AI53" s="9">
        <f t="shared" si="31"/>
        <v>36.450191532184718</v>
      </c>
      <c r="AJ53" s="9"/>
      <c r="AK53" s="9">
        <f t="shared" ref="AK53:AL55" si="34">+B53+G53+L53+Q53+V53+AA53+AF53</f>
        <v>1066753.92187</v>
      </c>
      <c r="AL53" s="9">
        <f>+C53+H53+M53+R53+W53+AB53+AG53</f>
        <v>753043.47660833318</v>
      </c>
      <c r="AM53" s="9">
        <f t="shared" si="32"/>
        <v>313710.44526166678</v>
      </c>
      <c r="AN53" s="9">
        <f t="shared" si="33"/>
        <v>41.65900841138702</v>
      </c>
    </row>
    <row r="54" spans="1:47" s="11" customFormat="1" ht="15" customHeight="1" x14ac:dyDescent="0.25">
      <c r="A54" s="8" t="s">
        <v>50</v>
      </c>
      <c r="B54" s="9">
        <v>13.69642</v>
      </c>
      <c r="C54" s="9">
        <v>7.1224099999999995</v>
      </c>
      <c r="D54" s="9">
        <f t="shared" si="18"/>
        <v>6.5740100000000004</v>
      </c>
      <c r="E54" s="9">
        <f t="shared" si="19"/>
        <v>92.300359007695448</v>
      </c>
      <c r="F54" s="9"/>
      <c r="G54" s="9">
        <v>45.552550000000004</v>
      </c>
      <c r="H54" s="9">
        <v>32.862250000000003</v>
      </c>
      <c r="I54" s="9">
        <f t="shared" si="20"/>
        <v>12.690300000000001</v>
      </c>
      <c r="J54" s="9">
        <f t="shared" si="21"/>
        <v>38.61664980334578</v>
      </c>
      <c r="K54" s="9"/>
      <c r="L54" s="9">
        <v>9.3000000000000007</v>
      </c>
      <c r="M54" s="9">
        <v>1109.58</v>
      </c>
      <c r="N54" s="9">
        <f t="shared" si="22"/>
        <v>-1100.28</v>
      </c>
      <c r="O54" s="9">
        <f t="shared" si="23"/>
        <v>-99.161845022440929</v>
      </c>
      <c r="P54" s="9"/>
      <c r="Q54" s="9">
        <v>57</v>
      </c>
      <c r="R54" s="9">
        <v>22.06</v>
      </c>
      <c r="S54" s="9">
        <f t="shared" si="24"/>
        <v>34.94</v>
      </c>
      <c r="T54" s="9"/>
      <c r="U54" s="9"/>
      <c r="V54" s="9">
        <v>1.3235999999999999</v>
      </c>
      <c r="W54" s="9">
        <v>80.807850000000002</v>
      </c>
      <c r="X54" s="9">
        <f t="shared" si="26"/>
        <v>-79.484250000000003</v>
      </c>
      <c r="Y54" s="9">
        <f t="shared" si="27"/>
        <v>-98.362040321577666</v>
      </c>
      <c r="Z54" s="9"/>
      <c r="AA54" s="9">
        <v>3.52948</v>
      </c>
      <c r="AB54" s="9">
        <v>7.1610200000000006</v>
      </c>
      <c r="AC54" s="9">
        <f t="shared" si="28"/>
        <v>-3.6315400000000007</v>
      </c>
      <c r="AD54" s="9">
        <f t="shared" si="29"/>
        <v>-50.712607980427372</v>
      </c>
      <c r="AE54" s="9"/>
      <c r="AF54" s="9">
        <v>31.949069999999999</v>
      </c>
      <c r="AG54" s="9">
        <v>21.30585</v>
      </c>
      <c r="AH54" s="9">
        <f t="shared" si="30"/>
        <v>10.643219999999999</v>
      </c>
      <c r="AI54" s="9"/>
      <c r="AJ54" s="9"/>
      <c r="AK54" s="9">
        <f t="shared" si="34"/>
        <v>162.35112000000001</v>
      </c>
      <c r="AL54" s="9">
        <f t="shared" si="34"/>
        <v>1280.8993799999998</v>
      </c>
      <c r="AM54" s="9">
        <f t="shared" si="32"/>
        <v>-1118.5482599999998</v>
      </c>
      <c r="AN54" s="9">
        <f t="shared" si="33"/>
        <v>-87.325224562135389</v>
      </c>
    </row>
    <row r="55" spans="1:47" s="11" customFormat="1" ht="15" customHeight="1" x14ac:dyDescent="0.25">
      <c r="A55" s="8" t="s">
        <v>51</v>
      </c>
      <c r="B55" s="9">
        <v>45711.921709999995</v>
      </c>
      <c r="C55" s="9">
        <v>57173.902120000006</v>
      </c>
      <c r="D55" s="9">
        <f t="shared" si="18"/>
        <v>-11461.980410000011</v>
      </c>
      <c r="E55" s="9">
        <f t="shared" si="19"/>
        <v>-20.047574129089391</v>
      </c>
      <c r="F55" s="9"/>
      <c r="G55" s="9">
        <v>26741.806370000002</v>
      </c>
      <c r="H55" s="9">
        <v>33901.563120000006</v>
      </c>
      <c r="I55" s="9">
        <f t="shared" si="20"/>
        <v>-7159.7567500000041</v>
      </c>
      <c r="J55" s="9">
        <f t="shared" si="21"/>
        <v>-21.119252598049535</v>
      </c>
      <c r="K55" s="9"/>
      <c r="L55" s="9">
        <v>2605.7784899999997</v>
      </c>
      <c r="M55" s="9">
        <v>1254.0895600000001</v>
      </c>
      <c r="N55" s="9">
        <f t="shared" si="22"/>
        <v>1351.6889299999996</v>
      </c>
      <c r="O55" s="9">
        <f t="shared" si="23"/>
        <v>107.78248803857353</v>
      </c>
      <c r="P55" s="9"/>
      <c r="Q55" s="9">
        <v>6363.0556699999997</v>
      </c>
      <c r="R55" s="9">
        <v>4230.9078100000006</v>
      </c>
      <c r="S55" s="9">
        <f t="shared" si="24"/>
        <v>2132.1478599999991</v>
      </c>
      <c r="T55" s="9">
        <f t="shared" si="25"/>
        <v>50.394571466684802</v>
      </c>
      <c r="U55" s="9"/>
      <c r="V55" s="9">
        <v>21123.741000000002</v>
      </c>
      <c r="W55" s="9">
        <v>20400.388999999999</v>
      </c>
      <c r="X55" s="9">
        <f t="shared" si="26"/>
        <v>723.35200000000259</v>
      </c>
      <c r="Y55" s="9">
        <f t="shared" si="27"/>
        <v>3.5457755241824191</v>
      </c>
      <c r="Z55" s="9"/>
      <c r="AA55" s="9">
        <v>8484.9178500000016</v>
      </c>
      <c r="AB55" s="9">
        <v>10715.67619</v>
      </c>
      <c r="AC55" s="9">
        <f t="shared" si="28"/>
        <v>-2230.7583399999985</v>
      </c>
      <c r="AD55" s="9">
        <f t="shared" si="29"/>
        <v>-20.817709498181454</v>
      </c>
      <c r="AE55" s="9"/>
      <c r="AF55" s="9">
        <v>11266.101890000002</v>
      </c>
      <c r="AG55" s="9">
        <v>13895.320089999999</v>
      </c>
      <c r="AH55" s="9">
        <f t="shared" si="30"/>
        <v>-2629.2181999999975</v>
      </c>
      <c r="AI55" s="9">
        <f t="shared" si="31"/>
        <v>-18.921609455345749</v>
      </c>
      <c r="AJ55" s="9"/>
      <c r="AK55" s="9">
        <f t="shared" si="34"/>
        <v>122297.32298000001</v>
      </c>
      <c r="AL55" s="9">
        <f t="shared" si="34"/>
        <v>141571.84789</v>
      </c>
      <c r="AM55" s="9">
        <f t="shared" si="32"/>
        <v>-19274.524909999993</v>
      </c>
      <c r="AN55" s="9">
        <f t="shared" si="33"/>
        <v>-13.614659409529018</v>
      </c>
    </row>
    <row r="56" spans="1:47" ht="15" hidden="1" customHeight="1" x14ac:dyDescent="0.25">
      <c r="A56" s="14" t="s">
        <v>52</v>
      </c>
      <c r="B56" s="9"/>
      <c r="C56" s="9"/>
      <c r="D56" s="9">
        <f t="shared" si="18"/>
        <v>0</v>
      </c>
      <c r="E56" s="9" t="e">
        <f t="shared" si="19"/>
        <v>#DIV/0!</v>
      </c>
      <c r="F56" s="9"/>
      <c r="G56" s="9"/>
      <c r="H56" s="9"/>
      <c r="I56" s="9">
        <f t="shared" si="20"/>
        <v>0</v>
      </c>
      <c r="J56" s="9" t="e">
        <f t="shared" si="21"/>
        <v>#DIV/0!</v>
      </c>
      <c r="K56" s="9"/>
      <c r="L56" s="9"/>
      <c r="M56" s="9"/>
      <c r="N56" s="9">
        <f t="shared" si="22"/>
        <v>0</v>
      </c>
      <c r="O56" s="9" t="e">
        <f t="shared" si="23"/>
        <v>#DIV/0!</v>
      </c>
      <c r="P56" s="9"/>
      <c r="Q56" s="9"/>
      <c r="R56" s="9"/>
      <c r="S56" s="9">
        <f t="shared" si="24"/>
        <v>0</v>
      </c>
      <c r="T56" s="9" t="e">
        <f t="shared" si="25"/>
        <v>#DIV/0!</v>
      </c>
      <c r="U56" s="9"/>
      <c r="V56" s="9"/>
      <c r="W56" s="9"/>
      <c r="X56" s="9">
        <f t="shared" si="26"/>
        <v>0</v>
      </c>
      <c r="Y56" s="9" t="e">
        <f t="shared" si="27"/>
        <v>#DIV/0!</v>
      </c>
      <c r="Z56" s="9"/>
      <c r="AA56" s="9"/>
      <c r="AB56" s="9"/>
      <c r="AC56" s="9">
        <f t="shared" si="28"/>
        <v>0</v>
      </c>
      <c r="AD56" s="9" t="e">
        <f t="shared" si="29"/>
        <v>#DIV/0!</v>
      </c>
      <c r="AE56" s="9"/>
      <c r="AF56" s="9"/>
      <c r="AG56" s="9"/>
      <c r="AH56" s="9">
        <f t="shared" si="30"/>
        <v>0</v>
      </c>
      <c r="AI56" s="9" t="e">
        <f t="shared" si="31"/>
        <v>#DIV/0!</v>
      </c>
      <c r="AJ56" s="9"/>
      <c r="AK56" s="9">
        <f>+B56+G56+L56+Q56+V56+AA56+AF56</f>
        <v>0</v>
      </c>
      <c r="AL56" s="9">
        <f>+C56+H56+M56+R56+W56+AB56+AG56</f>
        <v>0</v>
      </c>
      <c r="AM56" s="9">
        <f t="shared" si="32"/>
        <v>0</v>
      </c>
      <c r="AN56" s="9" t="e">
        <f t="shared" si="33"/>
        <v>#DIV/0!</v>
      </c>
      <c r="AO56" s="11"/>
    </row>
    <row r="57" spans="1:47" ht="9.9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1"/>
    </row>
    <row r="58" spans="1:47" ht="17.100000000000001" customHeight="1" x14ac:dyDescent="0.3">
      <c r="A58" s="1" t="s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1"/>
    </row>
    <row r="59" spans="1:47" s="11" customFormat="1" ht="15" customHeight="1" x14ac:dyDescent="0.25">
      <c r="A59" s="8" t="s">
        <v>54</v>
      </c>
      <c r="B59" s="9">
        <f>+'[5]financial profile(mcso)'!$D$158</f>
        <v>400748.71414</v>
      </c>
      <c r="C59" s="9">
        <f>+'[6]financial profile(mcso)'!$D$158</f>
        <v>367516.40814000001</v>
      </c>
      <c r="D59" s="9">
        <f>B59-C59</f>
        <v>33232.305999999982</v>
      </c>
      <c r="E59" s="9">
        <f>D59/C59*100</f>
        <v>9.042400628638223</v>
      </c>
      <c r="F59" s="9"/>
      <c r="G59" s="9">
        <f>+'[5]financial profile(mcso)'!$D$159</f>
        <v>523498.60732999997</v>
      </c>
      <c r="H59" s="9">
        <f>+'[6]financial profile(mcso)'!$D$159</f>
        <v>482007.11132999999</v>
      </c>
      <c r="I59" s="9">
        <f>G59-H59</f>
        <v>41491.495999999985</v>
      </c>
      <c r="J59" s="9">
        <f>I59/H59*100</f>
        <v>8.6080671891982448</v>
      </c>
      <c r="K59" s="9"/>
      <c r="L59" s="9">
        <f>+'[5]financial profile(mcso)'!$D$160</f>
        <v>55171.620999999999</v>
      </c>
      <c r="M59" s="9">
        <f>+'[6]financial profile(mcso)'!$D$160</f>
        <v>45440.985000000001</v>
      </c>
      <c r="N59" s="9">
        <f>L59-M59</f>
        <v>9730.6359999999986</v>
      </c>
      <c r="O59" s="9">
        <f>N59/M59*100</f>
        <v>21.413787575247319</v>
      </c>
      <c r="P59" s="9"/>
      <c r="Q59" s="9">
        <f>+'[5]financial profile(mcso)'!$D$161</f>
        <v>133035.83618000001</v>
      </c>
      <c r="R59" s="9">
        <f>+'[6]financial profile(mcso)'!$D$161</f>
        <v>112953.52618</v>
      </c>
      <c r="S59" s="9">
        <f>Q59-R59</f>
        <v>20082.310000000012</v>
      </c>
      <c r="T59" s="9">
        <f>S59/R59*100</f>
        <v>17.779267880488593</v>
      </c>
      <c r="U59" s="9"/>
      <c r="V59" s="9">
        <f>+'[5]financial profile(mcso)'!$D$162</f>
        <v>282905.75874999998</v>
      </c>
      <c r="W59" s="9">
        <f>+'[6]financial profile(mcso)'!$D$162</f>
        <v>262968.50075000001</v>
      </c>
      <c r="X59" s="9">
        <f>V59-W59</f>
        <v>19937.257999999973</v>
      </c>
      <c r="Y59" s="9">
        <f>X59/W59*100</f>
        <v>7.5816145063526106</v>
      </c>
      <c r="Z59" s="9"/>
      <c r="AA59" s="9">
        <f>+'[5]financial profile(mcso)'!$D$163</f>
        <v>118918.58851</v>
      </c>
      <c r="AB59" s="9">
        <f>+'[6]financial profile(mcso)'!$D$163</f>
        <v>109283.98498000001</v>
      </c>
      <c r="AC59" s="9">
        <f>AA59-AB59</f>
        <v>9634.603529999993</v>
      </c>
      <c r="AD59" s="9">
        <f>AC59/AB59*100</f>
        <v>8.8161165899680682</v>
      </c>
      <c r="AE59" s="9"/>
      <c r="AF59" s="9">
        <f>+'[5]financial profile(mcso)'!$D$164</f>
        <v>113035.71</v>
      </c>
      <c r="AG59" s="9">
        <f>+'[6]financial profile(mcso)'!$D$164</f>
        <v>112024.522</v>
      </c>
      <c r="AH59" s="9">
        <f>AF59-AG59</f>
        <v>1011.1880000000092</v>
      </c>
      <c r="AI59" s="9">
        <f>AH59/AG59*100</f>
        <v>0.9026487968411141</v>
      </c>
      <c r="AJ59" s="9"/>
      <c r="AK59" s="9">
        <f>B59+G59+L59+Q59+V59+AA59+AF59</f>
        <v>1627314.8359099999</v>
      </c>
      <c r="AL59" s="9">
        <f>C59+H59+M59+R59+W59+AB59+AG59</f>
        <v>1492195.0383799998</v>
      </c>
      <c r="AM59" s="9">
        <f>AK59-AL59</f>
        <v>135119.7975300001</v>
      </c>
      <c r="AN59" s="9">
        <f>AM59/AL59*100</f>
        <v>9.0551029895323065</v>
      </c>
    </row>
    <row r="60" spans="1:47" s="11" customFormat="1" ht="15" customHeight="1" x14ac:dyDescent="0.25">
      <c r="A60" s="8" t="s">
        <v>55</v>
      </c>
      <c r="B60" s="9">
        <f>+'[5]financial profile(mcso)'!$E$158</f>
        <v>414873.36614</v>
      </c>
      <c r="C60" s="9">
        <f>+'[6]financial profile(mcso)'!$E$158</f>
        <v>384600.71854999999</v>
      </c>
      <c r="D60" s="9">
        <f>B60-C60</f>
        <v>30272.647590000008</v>
      </c>
      <c r="E60" s="9">
        <f>D60/C60*100</f>
        <v>7.871188515750112</v>
      </c>
      <c r="F60" s="9"/>
      <c r="G60" s="9">
        <f>+'[5]financial profile(mcso)'!$E$159</f>
        <v>523498.63359999994</v>
      </c>
      <c r="H60" s="9">
        <f>+'[6]financial profile(mcso)'!$E$159</f>
        <v>482320.28759999998</v>
      </c>
      <c r="I60" s="9">
        <f>G60-H60</f>
        <v>41178.345999999961</v>
      </c>
      <c r="J60" s="9">
        <f>I60/H60*100</f>
        <v>8.5375521326090631</v>
      </c>
      <c r="K60" s="9"/>
      <c r="L60" s="9">
        <f>+'[5]financial profile(mcso)'!$E$160</f>
        <v>64608.218999999997</v>
      </c>
      <c r="M60" s="9">
        <f>+'[6]financial profile(mcso)'!$E$160</f>
        <v>51032.347000000002</v>
      </c>
      <c r="N60" s="9">
        <f>L60-M60</f>
        <v>13575.871999999996</v>
      </c>
      <c r="O60" s="9">
        <f>N60/M60*100</f>
        <v>26.60248410679602</v>
      </c>
      <c r="P60" s="9"/>
      <c r="Q60" s="9">
        <f>+'[5]financial profile(mcso)'!$E$161</f>
        <v>143289.75658000002</v>
      </c>
      <c r="R60" s="9">
        <f>+'[6]financial profile(mcso)'!$E$161</f>
        <v>119606.13357999999</v>
      </c>
      <c r="S60" s="9">
        <f>Q60-R60</f>
        <v>23683.623000000021</v>
      </c>
      <c r="T60" s="9">
        <f>S60/R60*100</f>
        <v>19.801344873470846</v>
      </c>
      <c r="U60" s="9"/>
      <c r="V60" s="9">
        <f>+'[5]financial profile(mcso)'!$E$162</f>
        <v>286784.90697000001</v>
      </c>
      <c r="W60" s="9">
        <f>+'[6]financial profile(mcso)'!$E$162</f>
        <v>266847.64896999998</v>
      </c>
      <c r="X60" s="9">
        <f>V60-W60</f>
        <v>19937.258000000031</v>
      </c>
      <c r="Y60" s="9">
        <f>X60/W60*100</f>
        <v>7.4714010323701423</v>
      </c>
      <c r="Z60" s="9"/>
      <c r="AA60" s="9">
        <f>+'[5]financial profile(mcso)'!$E$163</f>
        <v>118371.86751000001</v>
      </c>
      <c r="AB60" s="9">
        <f>+'[6]financial profile(mcso)'!$E$163</f>
        <v>110010.62</v>
      </c>
      <c r="AC60" s="9">
        <f>AA60-AB60</f>
        <v>8361.2475100000156</v>
      </c>
      <c r="AD60" s="9">
        <f>AC60/AB60*100</f>
        <v>7.6004003158967892</v>
      </c>
      <c r="AE60" s="9"/>
      <c r="AF60" s="9">
        <f>+'[5]financial profile(mcso)'!$E$164</f>
        <v>113035.71057</v>
      </c>
      <c r="AG60" s="9">
        <f>+'[6]financial profile(mcso)'!$E$164</f>
        <v>112277.31956999999</v>
      </c>
      <c r="AH60" s="9">
        <f>AF60-AG60</f>
        <v>758.39100000000326</v>
      </c>
      <c r="AI60" s="9">
        <f>AH60/AG60*100</f>
        <v>0.67546233104289577</v>
      </c>
      <c r="AJ60" s="9"/>
      <c r="AK60" s="9">
        <f>B60+G60+L60+Q60+V60+AA60+AF60</f>
        <v>1664462.46037</v>
      </c>
      <c r="AL60" s="9">
        <f>C60+H60+M60+R60+W60+AB60+AG60</f>
        <v>1526695.0752700001</v>
      </c>
      <c r="AM60" s="9">
        <f>AK60-AL60</f>
        <v>137767.38509999984</v>
      </c>
      <c r="AN60" s="9">
        <f>AM60/AL60*100</f>
        <v>9.023896607227563</v>
      </c>
    </row>
    <row r="61" spans="1:47" s="11" customFormat="1" ht="15" customHeight="1" x14ac:dyDescent="0.25">
      <c r="A61" s="15" t="s">
        <v>56</v>
      </c>
      <c r="B61" s="9">
        <f>+'[5]financial profile(mcso)'!$I$158</f>
        <v>-2.0000000000000004</v>
      </c>
      <c r="C61" s="9">
        <f>+'[6]financial profile(mcso)'!$I$158</f>
        <v>-1.896090954998066</v>
      </c>
      <c r="D61" s="9">
        <f>B61-C61</f>
        <v>-0.10390904500193443</v>
      </c>
      <c r="E61" s="9">
        <f>D61/C61*100</f>
        <v>5.480171967912816</v>
      </c>
      <c r="F61" s="9"/>
      <c r="G61" s="9">
        <f>+'[5]financial profile(mcso)'!$I$159</f>
        <v>-2.5325671528459974E-6</v>
      </c>
      <c r="H61" s="9">
        <f>+'[6]financial profile(mcso)'!$I$159</f>
        <v>-3.0191851361541296E-2</v>
      </c>
      <c r="I61" s="9">
        <f>G61-H61</f>
        <v>3.0189318794388451E-2</v>
      </c>
      <c r="J61" s="9">
        <f>I61/H61*100</f>
        <v>-99.991611752712615</v>
      </c>
      <c r="K61" s="9"/>
      <c r="L61" s="9">
        <f>+'[5]financial profile(mcso)'!$I$160</f>
        <v>-3.8791289695760884</v>
      </c>
      <c r="M61" s="9">
        <f>+'[6]financial profile(mcso)'!$I$160</f>
        <v>-2.2984569559482035</v>
      </c>
      <c r="N61" s="9">
        <f>L61-M61</f>
        <v>-1.5806720136278849</v>
      </c>
      <c r="O61" s="9">
        <f>N61/M61*100</f>
        <v>68.771007851038732</v>
      </c>
      <c r="P61" s="9"/>
      <c r="Q61" s="9">
        <f>+'[5]financial profile(mcso)'!$I$161</f>
        <v>-2.0100614412373958</v>
      </c>
      <c r="R61" s="9">
        <f>+'[6]financial profile(mcso)'!$I$161</f>
        <v>-1.6357791309671763</v>
      </c>
      <c r="S61" s="9">
        <f>Q61-R61</f>
        <v>-0.37428231027021952</v>
      </c>
      <c r="T61" s="9">
        <f>S61/R61*100</f>
        <v>22.880980884559889</v>
      </c>
      <c r="U61" s="9"/>
      <c r="V61" s="9">
        <f>+'[5]financial profile(mcso)'!$I$162</f>
        <v>-0.615578543964027</v>
      </c>
      <c r="W61" s="9">
        <f>+'[6]financial profile(mcso)'!$I$162</f>
        <v>-1.0578536345387533</v>
      </c>
      <c r="X61" s="9">
        <f>V61-W61</f>
        <v>0.44227509057472625</v>
      </c>
      <c r="Y61" s="9">
        <f>X61/W61*100</f>
        <v>-41.808722505128756</v>
      </c>
      <c r="Z61" s="9"/>
      <c r="AA61" s="9">
        <f>+'[5]financial profile(mcso)'!$I$163</f>
        <v>0.18938520586665966</v>
      </c>
      <c r="AB61" s="9">
        <f>+'[6]financial profile(mcso)'!$I$163</f>
        <v>-0.34897733341529225</v>
      </c>
      <c r="AC61" s="9">
        <f>AA61-AB61</f>
        <v>0.53836253928195188</v>
      </c>
      <c r="AD61" s="9">
        <f>AC61/AB61*100</f>
        <v>-154.26862656471909</v>
      </c>
      <c r="AE61" s="9"/>
      <c r="AF61" s="9">
        <f>+'[5]financial profile(mcso)'!$I$164</f>
        <v>-2.2547735504715945E-6</v>
      </c>
      <c r="AG61" s="9">
        <f>+'[6]financial profile(mcso)'!$I$164</f>
        <v>-1.0000022547735741</v>
      </c>
      <c r="AH61" s="9">
        <f>AF61-AG61</f>
        <v>1.0000000000000235</v>
      </c>
      <c r="AI61" s="9">
        <f>AH61/AG61*100</f>
        <v>-99.999774523153349</v>
      </c>
      <c r="AJ61" s="9"/>
      <c r="AK61" s="9">
        <f>+'[5]financial profile(mcso)'!$I$165</f>
        <v>-1.079546335449779</v>
      </c>
      <c r="AL61" s="9">
        <f>+'[6]financial profile(mcso)'!$I$165</f>
        <v>-1.0820238733101419</v>
      </c>
      <c r="AM61" s="9">
        <f>AK61-AL61</f>
        <v>2.4775378603629772E-3</v>
      </c>
      <c r="AN61" s="9">
        <f>AM61/AL61*100</f>
        <v>-0.22897256904172181</v>
      </c>
    </row>
    <row r="62" spans="1:47" s="11" customFormat="1" ht="15" customHeight="1" x14ac:dyDescent="0.25">
      <c r="A62" s="15" t="s">
        <v>57</v>
      </c>
      <c r="B62" s="9">
        <f>+'[5]financial profile(mcso)'!$F$158</f>
        <v>-14124.652000000002</v>
      </c>
      <c r="C62" s="9">
        <f>+'[6]financial profile(mcso)'!$F$158</f>
        <v>-17084.310409999976</v>
      </c>
      <c r="D62" s="9">
        <f>B62-C62</f>
        <v>2959.6584099999745</v>
      </c>
      <c r="E62" s="9">
        <f>D62/C62*100</f>
        <v>-17.32383888475589</v>
      </c>
      <c r="F62" s="9"/>
      <c r="G62" s="9">
        <f>+'[5]financial profile(mcso)'!$F$159</f>
        <v>-2.6269999973010272E-2</v>
      </c>
      <c r="H62" s="9">
        <f>+'[6]financial profile(mcso)'!$F$159</f>
        <v>-313.17626999999629</v>
      </c>
      <c r="I62" s="9">
        <f>G62-H62</f>
        <v>313.15000000002328</v>
      </c>
      <c r="J62" s="9">
        <f>I62/H62*100</f>
        <v>-99.991611752712615</v>
      </c>
      <c r="K62" s="9"/>
      <c r="L62" s="9">
        <f>+'[5]financial profile(mcso)'!$F$160</f>
        <v>-9436.5979999999981</v>
      </c>
      <c r="M62" s="9">
        <f>+'[6]financial profile(mcso)'!$F$160</f>
        <v>-5591.362000000001</v>
      </c>
      <c r="N62" s="9">
        <f>L62-M62</f>
        <v>-3845.2359999999971</v>
      </c>
      <c r="O62" s="9">
        <f>N62/M62*100</f>
        <v>68.771007851038732</v>
      </c>
      <c r="P62" s="9"/>
      <c r="Q62" s="9">
        <f>+'[5]financial profile(mcso)'!$F$161</f>
        <v>-10253.920400000003</v>
      </c>
      <c r="R62" s="9">
        <f>+'[6]financial profile(mcso)'!$F$161</f>
        <v>-6652.6073999999935</v>
      </c>
      <c r="S62" s="9">
        <f>Q62-R62</f>
        <v>-3601.3130000000092</v>
      </c>
      <c r="T62" s="9">
        <f>S62/R62*100</f>
        <v>54.133857350427938</v>
      </c>
      <c r="U62" s="9"/>
      <c r="V62" s="9">
        <f>+'[5]financial profile(mcso)'!$F$162</f>
        <v>-3879.1482200000319</v>
      </c>
      <c r="W62" s="9">
        <f>+'[6]financial profile(mcso)'!$F$162</f>
        <v>-3879.1482199999737</v>
      </c>
      <c r="X62" s="9">
        <f>V62-W62</f>
        <v>-5.8207660913467407E-11</v>
      </c>
      <c r="Y62" s="9">
        <f>X62/W62*100</f>
        <v>1.5005268582768359E-12</v>
      </c>
      <c r="Z62" s="9"/>
      <c r="AA62" s="9">
        <f>+'[5]financial profile(mcso)'!$F$163</f>
        <v>546.72099999999045</v>
      </c>
      <c r="AB62" s="9">
        <f>+'[6]financial profile(mcso)'!$F$163</f>
        <v>-726.63501999998698</v>
      </c>
      <c r="AC62" s="9">
        <f>AA62-AB62</f>
        <v>1273.3560199999774</v>
      </c>
      <c r="AD62" s="9">
        <f>AC62/AB62*100</f>
        <v>-175.24011160375952</v>
      </c>
      <c r="AE62" s="9"/>
      <c r="AF62" s="9">
        <f>+'[5]financial profile(mcso)'!$F$164</f>
        <v>-5.6999998923856765E-4</v>
      </c>
      <c r="AG62" s="9">
        <f>+'[6]financial profile(mcso)'!$F$164</f>
        <v>-252.79756999999518</v>
      </c>
      <c r="AH62" s="9">
        <f>AF62-AG62</f>
        <v>252.79700000000594</v>
      </c>
      <c r="AI62" s="9">
        <f>AH62/AG62*100</f>
        <v>-99.999774523153349</v>
      </c>
      <c r="AJ62" s="9"/>
      <c r="AK62" s="9">
        <f>B62+G62+L62+Q62+V62+AA62+AF62</f>
        <v>-37147.624460000006</v>
      </c>
      <c r="AL62" s="9">
        <f>C62+H62+M62+R62+W62+AB62+AG62</f>
        <v>-34500.036889999923</v>
      </c>
      <c r="AM62" s="9">
        <f>AK62-AL62</f>
        <v>-2647.5875700000834</v>
      </c>
      <c r="AN62" s="9">
        <f>AM62/AL62*100</f>
        <v>7.6741586637766908</v>
      </c>
    </row>
    <row r="63" spans="1:47" s="11" customFormat="1" ht="15" customHeight="1" x14ac:dyDescent="0.25">
      <c r="A63" s="8" t="s">
        <v>58</v>
      </c>
      <c r="B63" s="9">
        <f>+'[5]financial profile(mcso)'!$K$158</f>
        <v>169709.59646</v>
      </c>
      <c r="C63" s="9">
        <f>+'[6]financial profile(mcso)'!$K$158</f>
        <v>190428.75305</v>
      </c>
      <c r="D63" s="9">
        <f>B63-C63</f>
        <v>-20719.156589999999</v>
      </c>
      <c r="E63" s="9">
        <f>D63/C63*100</f>
        <v>-10.880266902005006</v>
      </c>
      <c r="F63" s="9"/>
      <c r="G63" s="9">
        <f>+'[5]financial profile(mcso)'!$K$159</f>
        <v>173619.32225999999</v>
      </c>
      <c r="H63" s="9">
        <f>+'[6]financial profile(mcso)'!$K$159</f>
        <v>200279.14225999999</v>
      </c>
      <c r="I63" s="9">
        <f>G63-H63</f>
        <v>-26659.820000000007</v>
      </c>
      <c r="J63" s="9">
        <f>I63/H63*100</f>
        <v>-13.311331224591799</v>
      </c>
      <c r="K63" s="9"/>
      <c r="L63" s="9">
        <f>+'[5]financial profile(mcso)'!$K$160</f>
        <v>67543.697569999989</v>
      </c>
      <c r="M63" s="9">
        <f>+'[6]financial profile(mcso)'!$K$160</f>
        <v>76221.127569999997</v>
      </c>
      <c r="N63" s="9">
        <f>L63-M63</f>
        <v>-8677.4300000000076</v>
      </c>
      <c r="O63" s="9">
        <f>N63/M63*100</f>
        <v>-11.384546879119343</v>
      </c>
      <c r="P63" s="9"/>
      <c r="Q63" s="9">
        <f>+'[5]financial profile(mcso)'!$K$161</f>
        <v>109585.44852999999</v>
      </c>
      <c r="R63" s="9">
        <f>+'[6]financial profile(mcso)'!$K$161</f>
        <v>121614.09568000001</v>
      </c>
      <c r="S63" s="9">
        <f>Q63-R63</f>
        <v>-12028.647150000019</v>
      </c>
      <c r="T63" s="9">
        <f>S63/R63*100</f>
        <v>-9.8908330343965094</v>
      </c>
      <c r="U63" s="9"/>
      <c r="V63" s="9">
        <f>+'[5]financial profile(mcso)'!$K$162</f>
        <v>134670.93555000002</v>
      </c>
      <c r="W63" s="9">
        <f>+'[6]financial profile(mcso)'!$K$162</f>
        <v>149360.00435</v>
      </c>
      <c r="X63" s="9">
        <f>V63-W63</f>
        <v>-14689.068799999979</v>
      </c>
      <c r="Y63" s="9">
        <f>X63/W63*100</f>
        <v>-9.8346735218208892</v>
      </c>
      <c r="Z63" s="9"/>
      <c r="AA63" s="9">
        <f>+'[5]financial profile(mcso)'!$K$163</f>
        <v>93535.73371</v>
      </c>
      <c r="AB63" s="9">
        <f>+'[6]financial profile(mcso)'!$K$163</f>
        <v>64227.929939999995</v>
      </c>
      <c r="AC63" s="9">
        <f>AA63-AB63</f>
        <v>29307.803770000006</v>
      </c>
      <c r="AD63" s="9">
        <f>AC63/AB63*100</f>
        <v>45.630933142915502</v>
      </c>
      <c r="AE63" s="9"/>
      <c r="AF63" s="9">
        <f>+'[5]financial profile(mcso)'!$K$164</f>
        <v>725.49057999999991</v>
      </c>
      <c r="AG63" s="9">
        <f>+'[6]financial profile(mcso)'!$K$164</f>
        <v>1367.6845800000001</v>
      </c>
      <c r="AH63" s="9">
        <f>AF63-AG63</f>
        <v>-642.19400000000019</v>
      </c>
      <c r="AI63" s="9">
        <f>AH63/AG63*100</f>
        <v>-46.954832231858617</v>
      </c>
      <c r="AJ63" s="9"/>
      <c r="AK63" s="9">
        <f>B63+G63+L63+Q63+V63+AA63+AF63</f>
        <v>749390.22465999983</v>
      </c>
      <c r="AL63" s="9">
        <f>C63+H63+M63+R63+W63+AB63+AG63</f>
        <v>803498.73742999986</v>
      </c>
      <c r="AM63" s="9">
        <f>AK63-AL63</f>
        <v>-54108.51277000003</v>
      </c>
      <c r="AN63" s="9">
        <f>AM63/AL63*100</f>
        <v>-6.7341129798245536</v>
      </c>
    </row>
    <row r="64" spans="1:47" ht="15" customHeight="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11"/>
    </row>
    <row r="65" spans="1:47" ht="15.6" x14ac:dyDescent="0.3">
      <c r="A65" s="1" t="s">
        <v>59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11"/>
    </row>
    <row r="66" spans="1:47" ht="9.9" customHeight="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11"/>
    </row>
    <row r="67" spans="1:47" s="11" customFormat="1" ht="15" customHeight="1" x14ac:dyDescent="0.25">
      <c r="A67" s="8" t="s">
        <v>60</v>
      </c>
      <c r="B67" s="9">
        <f>VLOOKUP(A67,[7]CARAGA!$A$67:$AI$79,2,FALSE)</f>
        <v>231426.13512865102</v>
      </c>
      <c r="C67" s="9">
        <v>218675.43400000001</v>
      </c>
      <c r="D67" s="9">
        <f t="shared" ref="D67:D78" si="35">B67-C67</f>
        <v>12750.70112865101</v>
      </c>
      <c r="E67" s="9">
        <f>D67/C67*100</f>
        <v>5.83087953475881</v>
      </c>
      <c r="F67" s="9"/>
      <c r="G67" s="9">
        <f>VLOOKUP(A67,[7]CARAGA!$A$67:$AI$79,7,FALSE)</f>
        <v>134229.41099058316</v>
      </c>
      <c r="H67" s="9">
        <v>131387.08222000001</v>
      </c>
      <c r="I67" s="9">
        <f t="shared" ref="I67:I77" si="36">G67-H67</f>
        <v>2842.3287705831463</v>
      </c>
      <c r="J67" s="9">
        <f>I67/H67*100</f>
        <v>2.1633243714354142</v>
      </c>
      <c r="K67" s="9"/>
      <c r="L67" s="9">
        <f>VLOOKUP(A67,[7]CARAGA!$A$67:$AI$79,12,FALSE)</f>
        <v>12978.177989999998</v>
      </c>
      <c r="M67" s="9">
        <v>7348.2598500000004</v>
      </c>
      <c r="N67" s="9">
        <f>L67-M67</f>
        <v>5629.9181399999979</v>
      </c>
      <c r="O67" s="9">
        <f>N67/M67*100</f>
        <v>76.615664863838447</v>
      </c>
      <c r="P67" s="9"/>
      <c r="Q67" s="9">
        <f>VLOOKUP(A67,[7]CARAGA!$A$67:$AI$79,17,FALSE)</f>
        <v>33281.635999999999</v>
      </c>
      <c r="R67" s="9">
        <v>15211.369000000001</v>
      </c>
      <c r="S67" s="9">
        <f>Q67-R67</f>
        <v>18070.267</v>
      </c>
      <c r="T67" s="9">
        <f>S67/R67*100</f>
        <v>118.79448194307822</v>
      </c>
      <c r="U67" s="9"/>
      <c r="V67" s="9">
        <f>VLOOKUP(A67,[7]CARAGA!$A$67:$AI$79,22,FALSE)</f>
        <v>95620.063330000004</v>
      </c>
      <c r="W67" s="9">
        <v>55594.097999999998</v>
      </c>
      <c r="X67" s="9">
        <f>IFERROR(V67-W67,0)</f>
        <v>40025.965330000006</v>
      </c>
      <c r="Y67" s="9">
        <f>X67/W67*100</f>
        <v>71.996788813805395</v>
      </c>
      <c r="Z67" s="9"/>
      <c r="AA67" s="9">
        <f>VLOOKUP(A67,[7]CARAGA!$A$67:$AI$79,27,FALSE)</f>
        <v>42418.684999999998</v>
      </c>
      <c r="AB67" s="9">
        <v>42142.459000000003</v>
      </c>
      <c r="AC67" s="9">
        <f t="shared" ref="AC67:AC72" si="37">AA67-AB67</f>
        <v>276.22599999999511</v>
      </c>
      <c r="AD67" s="9">
        <f>AC67/AB67*100</f>
        <v>0.65545771783273277</v>
      </c>
      <c r="AE67" s="9"/>
      <c r="AF67" s="9">
        <f>VLOOKUP(A67,[7]CARAGA!$A$67:$AI$79,32,FALSE)</f>
        <v>58251.1148997446</v>
      </c>
      <c r="AG67" s="9">
        <v>56117.063540000003</v>
      </c>
      <c r="AH67" s="9">
        <f>AF67-AG67</f>
        <v>2134.051359744597</v>
      </c>
      <c r="AI67" s="9">
        <f>AH67/AG67*100</f>
        <v>3.8028564310451749</v>
      </c>
      <c r="AJ67" s="9"/>
      <c r="AK67" s="9">
        <f t="shared" ref="AK67:AL69" si="38">B67+G67+L67+Q67+V67+AA67+AF67</f>
        <v>608205.22333897871</v>
      </c>
      <c r="AL67" s="9">
        <f t="shared" si="38"/>
        <v>526475.76561</v>
      </c>
      <c r="AM67" s="9">
        <f>AK67-AL67</f>
        <v>81729.457728978712</v>
      </c>
      <c r="AN67" s="9">
        <f>AM67/AL67*100</f>
        <v>15.523878413336472</v>
      </c>
    </row>
    <row r="68" spans="1:47" s="11" customFormat="1" ht="15" customHeight="1" x14ac:dyDescent="0.25">
      <c r="A68" s="8" t="s">
        <v>61</v>
      </c>
      <c r="B68" s="9">
        <f>VLOOKUP(A68,[7]CARAGA!$A$67:$AI$79,2,FALSE)</f>
        <v>207242.08486999999</v>
      </c>
      <c r="C68" s="9">
        <v>196591.677</v>
      </c>
      <c r="D68" s="9">
        <f t="shared" si="35"/>
        <v>10650.407869999995</v>
      </c>
      <c r="E68" s="9">
        <f>D68/C68*100</f>
        <v>5.4175273503567478</v>
      </c>
      <c r="F68" s="9"/>
      <c r="G68" s="9">
        <f>VLOOKUP(A68,[7]CARAGA!$A$67:$AI$79,7,FALSE)</f>
        <v>120402.394</v>
      </c>
      <c r="H68" s="9">
        <v>119184.711</v>
      </c>
      <c r="I68" s="9">
        <f t="shared" si="36"/>
        <v>1217.6830000000045</v>
      </c>
      <c r="J68" s="9">
        <f>I68/H68*100</f>
        <v>1.0216771847523334</v>
      </c>
      <c r="K68" s="9"/>
      <c r="L68" s="9">
        <f>VLOOKUP(A68,[7]CARAGA!$A$67:$AI$79,12,FALSE)</f>
        <v>12618.172919999999</v>
      </c>
      <c r="M68" s="9">
        <v>7222.1029600000002</v>
      </c>
      <c r="N68" s="9">
        <f>L68-M68</f>
        <v>5396.0699599999989</v>
      </c>
      <c r="O68" s="9">
        <f>N68/M68*100</f>
        <v>74.716048634122473</v>
      </c>
      <c r="P68" s="9"/>
      <c r="Q68" s="9">
        <f>VLOOKUP(A68,[7]CARAGA!$A$67:$AI$79,17,FALSE)</f>
        <v>30453.294190000001</v>
      </c>
      <c r="R68" s="9">
        <v>14292.281800000001</v>
      </c>
      <c r="S68" s="9">
        <f>Q68-R68</f>
        <v>16161.01239</v>
      </c>
      <c r="T68" s="9">
        <f>S68/R68*100</f>
        <v>113.0751031651223</v>
      </c>
      <c r="U68" s="9"/>
      <c r="V68" s="9">
        <f>VLOOKUP(A68,[7]CARAGA!$A$67:$AI$79,22,FALSE)</f>
        <v>86602.196400000001</v>
      </c>
      <c r="W68" s="9">
        <v>49093.32043</v>
      </c>
      <c r="X68" s="9">
        <f>IFERROR(V68-W68,0)</f>
        <v>37508.875970000001</v>
      </c>
      <c r="Y68" s="9">
        <f>X68/W68*100</f>
        <v>76.403216652420681</v>
      </c>
      <c r="Z68" s="9"/>
      <c r="AA68" s="9">
        <f>VLOOKUP(A68,[7]CARAGA!$A$67:$AI$79,27,FALSE)</f>
        <v>37934.400000000001</v>
      </c>
      <c r="AB68" s="9">
        <v>37671.845999999998</v>
      </c>
      <c r="AC68" s="9">
        <f t="shared" si="37"/>
        <v>262.55400000000373</v>
      </c>
      <c r="AD68" s="9">
        <f>AC68/AB68*100</f>
        <v>0.69695018396497943</v>
      </c>
      <c r="AE68" s="9"/>
      <c r="AF68" s="9">
        <f>VLOOKUP(A68,[7]CARAGA!$A$67:$AI$79,32,FALSE)</f>
        <v>51782.762140000006</v>
      </c>
      <c r="AG68" s="9">
        <v>50035.830959999999</v>
      </c>
      <c r="AH68" s="9">
        <f>AF68-AG68</f>
        <v>1746.9311800000069</v>
      </c>
      <c r="AI68" s="9">
        <f>AH68/AG68*100</f>
        <v>3.4913603841146377</v>
      </c>
      <c r="AJ68" s="9"/>
      <c r="AK68" s="9">
        <f>B68+G68+L68+Q68+V68+AA68+AF68</f>
        <v>547035.30452000001</v>
      </c>
      <c r="AL68" s="9">
        <f t="shared" si="38"/>
        <v>474091.77015</v>
      </c>
      <c r="AM68" s="9">
        <f>AK68-AL68</f>
        <v>72943.534370000008</v>
      </c>
      <c r="AN68" s="9">
        <f>AM68/AL68*100</f>
        <v>15.385952459567287</v>
      </c>
    </row>
    <row r="69" spans="1:47" s="11" customFormat="1" ht="15" customHeight="1" x14ac:dyDescent="0.25">
      <c r="A69" s="8" t="s">
        <v>62</v>
      </c>
      <c r="B69" s="9">
        <f>VLOOKUP(A69,[7]CARAGA!$A$67:$AI$79,2,FALSE)</f>
        <v>352.83575999999999</v>
      </c>
      <c r="C69" s="9">
        <v>331.33</v>
      </c>
      <c r="D69" s="9">
        <f t="shared" si="35"/>
        <v>21.505760000000009</v>
      </c>
      <c r="E69" s="9">
        <f>D69/C69*100</f>
        <v>6.490737331361486</v>
      </c>
      <c r="F69" s="9"/>
      <c r="G69" s="9">
        <f>VLOOKUP(A69,[7]CARAGA!$A$67:$AI$79,7,FALSE)</f>
        <v>184.953</v>
      </c>
      <c r="H69" s="9">
        <v>171.59899999999999</v>
      </c>
      <c r="I69" s="9">
        <f t="shared" si="36"/>
        <v>13.354000000000013</v>
      </c>
      <c r="J69" s="9">
        <f>I69/H69*100</f>
        <v>7.7820966322647651</v>
      </c>
      <c r="K69" s="9"/>
      <c r="L69" s="9">
        <f>VLOOKUP(A69,[7]CARAGA!$A$67:$AI$79,12,FALSE)</f>
        <v>44.134</v>
      </c>
      <c r="M69" s="9">
        <v>36.902999999999999</v>
      </c>
      <c r="N69" s="9">
        <f>L69-M69</f>
        <v>7.2310000000000016</v>
      </c>
      <c r="O69" s="9">
        <f>N69/M69*100</f>
        <v>19.594612904099943</v>
      </c>
      <c r="P69" s="9"/>
      <c r="Q69" s="9">
        <f>VLOOKUP(A69,[7]CARAGA!$A$67:$AI$79,17,FALSE)</f>
        <v>0</v>
      </c>
      <c r="R69" s="9">
        <f>[8]TECHNICAL!$I$159</f>
        <v>0</v>
      </c>
      <c r="S69" s="9">
        <f>Q69-R69</f>
        <v>0</v>
      </c>
      <c r="T69" s="9"/>
      <c r="U69" s="9"/>
      <c r="V69" s="9">
        <f>VLOOKUP(A69,[7]CARAGA!$A$67:$AI$79,22,FALSE)</f>
        <v>89.884399999999999</v>
      </c>
      <c r="W69" s="9">
        <v>81.063199999999995</v>
      </c>
      <c r="X69" s="9">
        <f>IFERROR(V69-W69,0)</f>
        <v>8.8212000000000046</v>
      </c>
      <c r="Y69" s="9">
        <f>X69/W69*100</f>
        <v>10.881879817229033</v>
      </c>
      <c r="Z69" s="9"/>
      <c r="AA69" s="9">
        <f>VLOOKUP(A69,[7]CARAGA!$A$67:$AI$79,27,FALSE)</f>
        <v>105.00700000000001</v>
      </c>
      <c r="AB69" s="9">
        <v>102.21339999999999</v>
      </c>
      <c r="AC69" s="9">
        <f t="shared" si="37"/>
        <v>2.7936000000000121</v>
      </c>
      <c r="AD69" s="9">
        <f>AC69/AB69*100</f>
        <v>2.7331054441002962</v>
      </c>
      <c r="AE69" s="9"/>
      <c r="AF69" s="9">
        <f>VLOOKUP(A69,[7]CARAGA!$A$67:$AI$79,32,FALSE)</f>
        <v>106.87629999999999</v>
      </c>
      <c r="AG69" s="9">
        <v>99.738200000000006</v>
      </c>
      <c r="AH69" s="9">
        <f>AF69-AG69</f>
        <v>7.1380999999999801</v>
      </c>
      <c r="AI69" s="9">
        <f>AH69/AG69*100</f>
        <v>7.1568365982141042</v>
      </c>
      <c r="AJ69" s="9"/>
      <c r="AK69" s="9">
        <f t="shared" si="38"/>
        <v>883.69046000000014</v>
      </c>
      <c r="AL69" s="9">
        <f t="shared" si="38"/>
        <v>822.84679999999992</v>
      </c>
      <c r="AM69" s="9">
        <f>AK69-AL69</f>
        <v>60.843660000000227</v>
      </c>
      <c r="AN69" s="9">
        <f>AM69/AL69*100</f>
        <v>7.3942877337555712</v>
      </c>
    </row>
    <row r="70" spans="1:47" s="18" customFormat="1" ht="15" customHeight="1" x14ac:dyDescent="0.25">
      <c r="A70" s="23" t="s">
        <v>63</v>
      </c>
      <c r="B70" s="10">
        <f>SUM(B67-B68-B69)/B67*100</f>
        <v>10.297546768174271</v>
      </c>
      <c r="C70" s="10">
        <f>SUM(C67-C68-C69)/C67*100</f>
        <v>9.9473574155567963</v>
      </c>
      <c r="D70" s="10"/>
      <c r="E70" s="10">
        <f>B70-C70</f>
        <v>0.35018935261747508</v>
      </c>
      <c r="F70" s="10"/>
      <c r="G70" s="10">
        <f>SUM(G67-G68-G69)/G67*100</f>
        <v>10.163245066716573</v>
      </c>
      <c r="H70" s="10">
        <f>SUM(H67-H68-H69)/H67*100</f>
        <v>9.1567390162871476</v>
      </c>
      <c r="I70" s="10"/>
      <c r="J70" s="10">
        <f>G70-H70</f>
        <v>1.0065060504294259</v>
      </c>
      <c r="K70" s="10"/>
      <c r="L70" s="10">
        <f>SUM(L67-L68-L69)/L67*100</f>
        <v>2.4338629832584018</v>
      </c>
      <c r="M70" s="10">
        <f>SUM(M67-M68-M69)/M67*100</f>
        <v>1.2146262084076982</v>
      </c>
      <c r="N70" s="10"/>
      <c r="O70" s="10">
        <f>L70-M70</f>
        <v>1.2192367748507036</v>
      </c>
      <c r="P70" s="10"/>
      <c r="Q70" s="10">
        <f>SUM(Q67-Q68-Q69)/Q67*100</f>
        <v>8.4982054668225988</v>
      </c>
      <c r="R70" s="10">
        <f>SUM(R67-R68-R69)/R67*100</f>
        <v>6.0421070582141549</v>
      </c>
      <c r="S70" s="10"/>
      <c r="T70" s="10">
        <f>Q70-R70</f>
        <v>2.4560984086084439</v>
      </c>
      <c r="U70" s="10"/>
      <c r="V70" s="10">
        <f>SUM(V67-V68-V69)/V67*100</f>
        <v>9.3369343410578161</v>
      </c>
      <c r="W70" s="10">
        <v>11.54</v>
      </c>
      <c r="X70" s="10"/>
      <c r="Y70" s="10">
        <f>IFERROR(V70-W70,0)</f>
        <v>-2.2030656589421831</v>
      </c>
      <c r="Z70" s="10"/>
      <c r="AA70" s="10">
        <f>SUM(AA67-AA68-AA69)/AA67*100</f>
        <v>10.323936255921176</v>
      </c>
      <c r="AB70" s="10">
        <v>10.36</v>
      </c>
      <c r="AC70" s="10"/>
      <c r="AD70" s="10">
        <f>AA70-AB70</f>
        <v>-3.6063744078823845E-2</v>
      </c>
      <c r="AE70" s="10"/>
      <c r="AF70" s="10">
        <f>SUM(AF67-AF68-AF69)/AF67*100</f>
        <v>10.920780607707279</v>
      </c>
      <c r="AG70" s="10">
        <v>10.65</v>
      </c>
      <c r="AH70" s="19" t="s">
        <v>27</v>
      </c>
      <c r="AI70" s="10">
        <f>AF70-AG70</f>
        <v>0.27078060770727852</v>
      </c>
      <c r="AJ70" s="10"/>
      <c r="AK70" s="10">
        <f>SUM(AK67-AK68-AK69)/AK67*100</f>
        <v>9.912152353446432</v>
      </c>
      <c r="AL70" s="10">
        <f>SUM(AL67-AL68-AL69)/AL67*100</f>
        <v>9.7936414224610697</v>
      </c>
      <c r="AM70" s="10"/>
      <c r="AN70" s="10">
        <f>AK70-AL70</f>
        <v>0.11851093098536225</v>
      </c>
    </row>
    <row r="71" spans="1:47" ht="15" customHeight="1" x14ac:dyDescent="0.25">
      <c r="A71" s="14" t="s">
        <v>64</v>
      </c>
      <c r="B71" s="10">
        <f>B14/(B68+B69)</f>
        <v>12.148102603988072</v>
      </c>
      <c r="C71" s="10">
        <f>C14/(C68+C69)</f>
        <v>11.460593931312456</v>
      </c>
      <c r="D71" s="10">
        <f t="shared" si="35"/>
        <v>0.68750867267561588</v>
      </c>
      <c r="E71" s="9">
        <f>D71/C71*100</f>
        <v>5.9988921760609228</v>
      </c>
      <c r="F71" s="10"/>
      <c r="G71" s="10">
        <f>G14/(G68+G69)</f>
        <v>17.700424940188793</v>
      </c>
      <c r="H71" s="10">
        <f>H14/(H68+H69)</f>
        <v>13.479911949104324</v>
      </c>
      <c r="I71" s="10">
        <f t="shared" si="36"/>
        <v>4.220512991084469</v>
      </c>
      <c r="J71" s="9">
        <f>I71/H71</f>
        <v>0.31309648067581791</v>
      </c>
      <c r="K71" s="10"/>
      <c r="L71" s="10">
        <f>L14/(L68+L69)</f>
        <v>9.2808566458283259</v>
      </c>
      <c r="M71" s="10">
        <f>M14/(M68+M69)</f>
        <v>8.5571633846681667</v>
      </c>
      <c r="N71" s="10">
        <f>L71-M71</f>
        <v>0.7236932611601592</v>
      </c>
      <c r="O71" s="9">
        <f>N71/M71*100</f>
        <v>8.4571630647697731</v>
      </c>
      <c r="P71" s="10"/>
      <c r="Q71" s="10">
        <f>Q14/(Q68+Q69)</f>
        <v>9.4337474247478124</v>
      </c>
      <c r="R71" s="10">
        <f>R14/(R68+R69)</f>
        <v>8.7603859511082405</v>
      </c>
      <c r="S71" s="10">
        <f>Q71-R71</f>
        <v>0.67336147363957188</v>
      </c>
      <c r="T71" s="9">
        <f>S71/R71*100</f>
        <v>7.6864361615755952</v>
      </c>
      <c r="U71" s="10"/>
      <c r="V71" s="10">
        <f>IFERROR(V14/(V68+V69),0)</f>
        <v>16.943961540487098</v>
      </c>
      <c r="W71" s="10">
        <f>W14/(W68+W69)</f>
        <v>16.26785528292752</v>
      </c>
      <c r="X71" s="10">
        <f>V71-W71</f>
        <v>0.67610625755957798</v>
      </c>
      <c r="Y71" s="9">
        <f>X71/W71*100</f>
        <v>4.1560872395338126</v>
      </c>
      <c r="Z71" s="10"/>
      <c r="AA71" s="10">
        <f>AA14/(AA68+AA69)</f>
        <v>15.131370005321061</v>
      </c>
      <c r="AB71" s="10">
        <f>AB14/(AB68+AB69)</f>
        <v>12.951912376936646</v>
      </c>
      <c r="AC71" s="10">
        <f t="shared" si="37"/>
        <v>2.1794576283844158</v>
      </c>
      <c r="AD71" s="9">
        <f>AC71/AB71*100</f>
        <v>16.827303682700606</v>
      </c>
      <c r="AE71" s="10"/>
      <c r="AF71" s="10">
        <f>AF14/(AF68+AF69)</f>
        <v>17.873314211321762</v>
      </c>
      <c r="AG71" s="10">
        <f>AG14/(AG68+AG69)</f>
        <v>14.653442501778512</v>
      </c>
      <c r="AH71" s="10">
        <f>AF71-AG71</f>
        <v>3.2198717095432503</v>
      </c>
      <c r="AI71" s="9">
        <f>AH71/AG71*100</f>
        <v>21.973483085305375</v>
      </c>
      <c r="AJ71" s="10"/>
      <c r="AK71" s="10">
        <f>AK14/(AK68+AK69)</f>
        <v>14.66105926596544</v>
      </c>
      <c r="AL71" s="10">
        <f>AL14/(AL68+AL69)</f>
        <v>12.795892356456559</v>
      </c>
      <c r="AM71" s="10">
        <f>AK71-AL71</f>
        <v>1.865166909508881</v>
      </c>
      <c r="AN71" s="9">
        <f>AM71/AL71*100</f>
        <v>14.576294154020092</v>
      </c>
      <c r="AO71" s="18"/>
    </row>
    <row r="72" spans="1:47" ht="15" customHeight="1" x14ac:dyDescent="0.25">
      <c r="A72" s="14" t="s">
        <v>65</v>
      </c>
      <c r="B72" s="10">
        <f>B24/B67</f>
        <v>8.6001160329345971</v>
      </c>
      <c r="C72" s="10">
        <f>C24/C67</f>
        <v>8.2693153617337742</v>
      </c>
      <c r="D72" s="10">
        <f t="shared" si="35"/>
        <v>0.3308006712008229</v>
      </c>
      <c r="E72" s="9">
        <f>D72/C72*100</f>
        <v>4.0003392872353345</v>
      </c>
      <c r="F72" s="10"/>
      <c r="G72" s="10">
        <f>G24/G67</f>
        <v>11.374913233710872</v>
      </c>
      <c r="H72" s="10">
        <f>H24/H67</f>
        <v>9.5039192241071149</v>
      </c>
      <c r="I72" s="10">
        <f t="shared" si="36"/>
        <v>1.8709940096037574</v>
      </c>
      <c r="J72" s="9">
        <f>I72/H72</f>
        <v>0.19686552100084118</v>
      </c>
      <c r="K72" s="10"/>
      <c r="L72" s="10">
        <f>L24/L67</f>
        <v>5.792336021891777</v>
      </c>
      <c r="M72" s="10">
        <f>M24/M67</f>
        <v>5.1841148200549823</v>
      </c>
      <c r="N72" s="10">
        <f>L72-M72</f>
        <v>0.60822120183679473</v>
      </c>
      <c r="O72" s="9">
        <f>N72/M72*100</f>
        <v>11.732402212309486</v>
      </c>
      <c r="P72" s="10"/>
      <c r="Q72" s="10">
        <f>Q24/Q67</f>
        <v>5.094204610314228</v>
      </c>
      <c r="R72" s="10">
        <f>R24/R67</f>
        <v>4.4877673949004855</v>
      </c>
      <c r="S72" s="10">
        <f>Q72-R72</f>
        <v>0.60643721541374251</v>
      </c>
      <c r="T72" s="9">
        <f>S72/R72*100</f>
        <v>13.513116034107423</v>
      </c>
      <c r="U72" s="10"/>
      <c r="V72" s="10">
        <f>IFERROR(V24/V67,0)</f>
        <v>11.751312490581258</v>
      </c>
      <c r="W72" s="10">
        <f>W24/W67</f>
        <v>13.195550191317073</v>
      </c>
      <c r="X72" s="10">
        <f>V72-W72</f>
        <v>-1.4442377007358154</v>
      </c>
      <c r="Y72" s="9">
        <f>X72/W72*100</f>
        <v>-10.94488429657258</v>
      </c>
      <c r="Z72" s="10"/>
      <c r="AA72" s="10">
        <f>AA24/AA67</f>
        <v>9.5188597336291796</v>
      </c>
      <c r="AB72" s="10">
        <f>AB24/AB67</f>
        <v>8.6337536551913097</v>
      </c>
      <c r="AC72" s="10">
        <f t="shared" si="37"/>
        <v>0.88510607843786993</v>
      </c>
      <c r="AD72" s="9">
        <f>AC72/AB72*100</f>
        <v>10.251694845447352</v>
      </c>
      <c r="AE72" s="10"/>
      <c r="AF72" s="10">
        <f>AF24/AF67</f>
        <v>11.923074220044589</v>
      </c>
      <c r="AG72" s="10">
        <f>AG24/AG67</f>
        <v>10.015042516959181</v>
      </c>
      <c r="AH72" s="10">
        <f>AF72-AG72</f>
        <v>1.9080317030854079</v>
      </c>
      <c r="AI72" s="9">
        <f>AH72/AG72*100</f>
        <v>19.051658541183453</v>
      </c>
      <c r="AJ72" s="10"/>
      <c r="AK72" s="10">
        <f>AK24/AK67</f>
        <v>9.8385016173808104</v>
      </c>
      <c r="AL72" s="10">
        <f>AL24/AL67</f>
        <v>9.1605446308854663</v>
      </c>
      <c r="AM72" s="10">
        <f>AK72-AL72</f>
        <v>0.67795698649534408</v>
      </c>
      <c r="AN72" s="9">
        <f>AM72/AL72*100</f>
        <v>7.400837109723378</v>
      </c>
      <c r="AO72" s="18"/>
    </row>
    <row r="73" spans="1:47" ht="15" hidden="1" customHeight="1" x14ac:dyDescent="0.25">
      <c r="A73" s="14" t="s">
        <v>66</v>
      </c>
      <c r="B73" s="10"/>
      <c r="C73" s="10"/>
      <c r="D73" s="10"/>
      <c r="E73" s="9">
        <f>B73-C73</f>
        <v>0</v>
      </c>
      <c r="F73" s="10"/>
      <c r="G73" s="10"/>
      <c r="H73" s="10"/>
      <c r="I73" s="10"/>
      <c r="J73" s="9">
        <f>G73-H73</f>
        <v>0</v>
      </c>
      <c r="K73" s="10"/>
      <c r="L73" s="10"/>
      <c r="M73" s="10"/>
      <c r="N73" s="10"/>
      <c r="O73" s="9" t="e">
        <f>N73/M73*100</f>
        <v>#DIV/0!</v>
      </c>
      <c r="P73" s="10"/>
      <c r="Q73" s="10"/>
      <c r="R73" s="10"/>
      <c r="S73" s="10"/>
      <c r="T73" s="9">
        <v>-1</v>
      </c>
      <c r="U73" s="10"/>
      <c r="V73" s="10"/>
      <c r="W73" s="10"/>
      <c r="X73" s="10"/>
      <c r="Y73" s="9">
        <f>V73-W73</f>
        <v>0</v>
      </c>
      <c r="Z73" s="10"/>
      <c r="AA73" s="10"/>
      <c r="AB73" s="10"/>
      <c r="AC73" s="10"/>
      <c r="AD73" s="9">
        <f>AA73-AB73</f>
        <v>0</v>
      </c>
      <c r="AE73" s="10"/>
      <c r="AF73" s="10"/>
      <c r="AG73" s="10"/>
      <c r="AH73" s="10"/>
      <c r="AI73" s="9">
        <f>AF73-AG73</f>
        <v>0</v>
      </c>
      <c r="AJ73" s="10"/>
      <c r="AK73" s="10">
        <v>33</v>
      </c>
      <c r="AL73" s="20" t="str">
        <f>[9]CARAGA!$AH$97</f>
        <v>37</v>
      </c>
      <c r="AM73" s="10"/>
      <c r="AN73" s="9">
        <f>AK73-AL73</f>
        <v>-4</v>
      </c>
      <c r="AO73" s="18"/>
      <c r="AP73" s="16"/>
      <c r="AQ73" s="16"/>
      <c r="AR73" s="16"/>
      <c r="AS73" s="16"/>
      <c r="AT73" s="16"/>
      <c r="AU73" s="16"/>
    </row>
    <row r="74" spans="1:47" s="18" customFormat="1" ht="15" customHeight="1" x14ac:dyDescent="0.25">
      <c r="A74" s="23" t="s">
        <v>76</v>
      </c>
      <c r="B74" s="10">
        <v>98.05</v>
      </c>
      <c r="C74" s="10">
        <v>97.86</v>
      </c>
      <c r="D74" s="10"/>
      <c r="E74" s="10">
        <f>B74-C74</f>
        <v>0.18999999999999773</v>
      </c>
      <c r="F74" s="10"/>
      <c r="G74" s="10">
        <v>95.65</v>
      </c>
      <c r="H74" s="10">
        <v>95.07</v>
      </c>
      <c r="I74" s="10"/>
      <c r="J74" s="10">
        <f>G74-H74</f>
        <v>0.58000000000001251</v>
      </c>
      <c r="K74" s="10"/>
      <c r="L74" s="10">
        <v>100</v>
      </c>
      <c r="M74" s="10">
        <v>98.44</v>
      </c>
      <c r="N74" s="10"/>
      <c r="O74" s="10">
        <f>L74-M74</f>
        <v>1.5600000000000023</v>
      </c>
      <c r="P74" s="10"/>
      <c r="Q74" s="10">
        <v>100</v>
      </c>
      <c r="R74" s="10">
        <v>100</v>
      </c>
      <c r="S74" s="10"/>
      <c r="T74" s="10">
        <f>Q74-R74</f>
        <v>0</v>
      </c>
      <c r="U74" s="10"/>
      <c r="V74" s="10">
        <v>96.51</v>
      </c>
      <c r="W74" s="10">
        <v>94.28</v>
      </c>
      <c r="X74" s="10"/>
      <c r="Y74" s="10">
        <f>V74-W74</f>
        <v>2.230000000000004</v>
      </c>
      <c r="Z74" s="10"/>
      <c r="AA74" s="10">
        <v>98.65</v>
      </c>
      <c r="AB74" s="10">
        <v>98.65</v>
      </c>
      <c r="AC74" s="10"/>
      <c r="AD74" s="10">
        <f>AA74-AB74</f>
        <v>0</v>
      </c>
      <c r="AE74" s="10"/>
      <c r="AF74" s="10">
        <v>98.66</v>
      </c>
      <c r="AG74" s="10">
        <v>98.92</v>
      </c>
      <c r="AH74" s="10"/>
      <c r="AI74" s="10">
        <f>AF74-AG74</f>
        <v>-0.26000000000000512</v>
      </c>
      <c r="AJ74" s="10"/>
      <c r="AK74" s="10">
        <f>+(B74+G74+L74+Q74+V74+AA74+AF74)/7</f>
        <v>98.217142857142861</v>
      </c>
      <c r="AL74" s="10">
        <f>+(C74+H74+M74+R74+W74+AB74+AG74)/7</f>
        <v>97.602857142857133</v>
      </c>
      <c r="AM74" s="10"/>
      <c r="AN74" s="10">
        <f>AK74-AL74</f>
        <v>0.61428571428572809</v>
      </c>
    </row>
    <row r="75" spans="1:47" s="11" customFormat="1" ht="15" customHeight="1" x14ac:dyDescent="0.25">
      <c r="A75" s="8" t="s">
        <v>67</v>
      </c>
      <c r="B75" s="9">
        <f>VLOOKUP(A75,[7]CARAGA!$A$67:$AI$79,2,FALSE)</f>
        <v>168446</v>
      </c>
      <c r="C75" s="9">
        <v>163769</v>
      </c>
      <c r="D75" s="9">
        <f t="shared" si="35"/>
        <v>4677</v>
      </c>
      <c r="E75" s="9">
        <f>D75/C75*100</f>
        <v>2.8558518400918365</v>
      </c>
      <c r="F75" s="9"/>
      <c r="G75" s="9">
        <f>VLOOKUP(A75,[7]CARAGA!$A$67:$AI$79,7,FALSE)</f>
        <v>148741</v>
      </c>
      <c r="H75" s="9">
        <v>147857</v>
      </c>
      <c r="I75" s="9">
        <f t="shared" si="36"/>
        <v>884</v>
      </c>
      <c r="J75" s="9">
        <f>I75/H75*100</f>
        <v>0.5978749737922453</v>
      </c>
      <c r="K75" s="9"/>
      <c r="L75" s="9">
        <f>VLOOKUP(A75,[7]CARAGA!$A$67:$AI$79,12,FALSE)</f>
        <v>28634</v>
      </c>
      <c r="M75" s="9">
        <v>22123</v>
      </c>
      <c r="N75" s="9">
        <f>L75-M75</f>
        <v>6511</v>
      </c>
      <c r="O75" s="9">
        <f>N75/M75*100</f>
        <v>29.430909008723955</v>
      </c>
      <c r="P75" s="9"/>
      <c r="Q75" s="9">
        <f>VLOOKUP(A75,[7]CARAGA!$A$67:$AI$79,17,FALSE)</f>
        <v>34776</v>
      </c>
      <c r="R75" s="9">
        <v>28781</v>
      </c>
      <c r="S75" s="9">
        <f>Q75-R75</f>
        <v>5995</v>
      </c>
      <c r="T75" s="9"/>
      <c r="U75" s="9"/>
      <c r="V75" s="9">
        <f>VLOOKUP(A75,[7]CARAGA!$A$67:$AI$79,22,FALSE)</f>
        <v>80076</v>
      </c>
      <c r="W75" s="9">
        <v>74863</v>
      </c>
      <c r="X75" s="9">
        <f>IFERROR(V75-W75,0)</f>
        <v>5213</v>
      </c>
      <c r="Y75" s="9">
        <f>X75/W75*100</f>
        <v>6.9633864525867253</v>
      </c>
      <c r="Z75" s="9"/>
      <c r="AA75" s="9">
        <f>VLOOKUP(A75,[7]CARAGA!$A$67:$AI$79,27,FALSE)</f>
        <v>63765</v>
      </c>
      <c r="AB75" s="9">
        <v>64014</v>
      </c>
      <c r="AC75" s="9">
        <f>AA75-AB75</f>
        <v>-249</v>
      </c>
      <c r="AD75" s="9">
        <f>AC75/AB75*100</f>
        <v>-0.38897741119130191</v>
      </c>
      <c r="AE75" s="9"/>
      <c r="AF75" s="9">
        <f>VLOOKUP(A75,[7]CARAGA!$A$67:$AI$79,32,FALSE)</f>
        <v>79776</v>
      </c>
      <c r="AG75" s="9">
        <v>78353</v>
      </c>
      <c r="AH75" s="9">
        <f>AF75-AG75</f>
        <v>1423</v>
      </c>
      <c r="AI75" s="9">
        <f>AH75/AG75*100</f>
        <v>1.8161397776728396</v>
      </c>
      <c r="AJ75" s="9"/>
      <c r="AK75" s="9">
        <f>+B75+G75+L75+Q75+V75+AA75+AF75</f>
        <v>604214</v>
      </c>
      <c r="AL75" s="9">
        <f>+C75+H75+M75+R75+W75+AB75+AG75</f>
        <v>579760</v>
      </c>
      <c r="AM75" s="9">
        <f>AK75-AL75</f>
        <v>24454</v>
      </c>
      <c r="AN75" s="9">
        <f>AM75/AL75*100</f>
        <v>4.217952256105975</v>
      </c>
    </row>
    <row r="76" spans="1:47" s="11" customFormat="1" ht="15" customHeight="1" x14ac:dyDescent="0.25">
      <c r="A76" s="8" t="s">
        <v>68</v>
      </c>
      <c r="B76" s="9">
        <f>VLOOKUP(A76,[7]CARAGA!$A$67:$AI$79,2,FALSE)</f>
        <v>120</v>
      </c>
      <c r="C76" s="9">
        <f>63+62</f>
        <v>125</v>
      </c>
      <c r="D76" s="9">
        <f t="shared" si="35"/>
        <v>-5</v>
      </c>
      <c r="E76" s="9">
        <f>D76/C76*100</f>
        <v>-4</v>
      </c>
      <c r="F76" s="9"/>
      <c r="G76" s="9">
        <f>VLOOKUP(A76,[7]CARAGA!$A$67:$AI$79,7,FALSE)</f>
        <v>235</v>
      </c>
      <c r="H76" s="9">
        <f>115+124</f>
        <v>239</v>
      </c>
      <c r="I76" s="9">
        <f t="shared" si="36"/>
        <v>-4</v>
      </c>
      <c r="J76" s="9">
        <f>G76-H76</f>
        <v>-4</v>
      </c>
      <c r="K76" s="9"/>
      <c r="L76" s="9">
        <f>VLOOKUP(A76,[7]CARAGA!$A$67:$AI$79,12,FALSE)</f>
        <v>38</v>
      </c>
      <c r="M76" s="9">
        <f>28+10</f>
        <v>38</v>
      </c>
      <c r="N76" s="9">
        <f>L76-M76</f>
        <v>0</v>
      </c>
      <c r="O76" s="9">
        <f>N76/M76*100</f>
        <v>0</v>
      </c>
      <c r="P76" s="9"/>
      <c r="Q76" s="9">
        <f>VLOOKUP(A76,[7]CARAGA!$A$67:$AI$79,17,FALSE)</f>
        <v>87</v>
      </c>
      <c r="R76" s="9">
        <f>32+55</f>
        <v>87</v>
      </c>
      <c r="S76" s="9">
        <f>Q76-R76</f>
        <v>0</v>
      </c>
      <c r="T76" s="9">
        <f>S76/R76*100</f>
        <v>0</v>
      </c>
      <c r="U76" s="9"/>
      <c r="V76" s="9">
        <f>VLOOKUP(A76,[7]CARAGA!$A$67:$AI$79,22,FALSE)</f>
        <v>148</v>
      </c>
      <c r="W76" s="9">
        <f>77+72</f>
        <v>149</v>
      </c>
      <c r="X76" s="9">
        <f>IFERROR(V76-W76,0)</f>
        <v>-1</v>
      </c>
      <c r="Y76" s="9">
        <f>X76/W76*100</f>
        <v>-0.67114093959731547</v>
      </c>
      <c r="Z76" s="9"/>
      <c r="AA76" s="9">
        <f>VLOOKUP(A76,[7]CARAGA!$A$67:$AI$79,27,FALSE)</f>
        <v>125</v>
      </c>
      <c r="AB76" s="9">
        <f>61+77</f>
        <v>138</v>
      </c>
      <c r="AC76" s="9">
        <f>AA76-AB76</f>
        <v>-13</v>
      </c>
      <c r="AD76" s="9">
        <f>AC76/AB76*100</f>
        <v>-9.4202898550724647</v>
      </c>
      <c r="AE76" s="9"/>
      <c r="AF76" s="9">
        <f>VLOOKUP(A76,[7]CARAGA!$A$67:$AI$79,32,FALSE)</f>
        <v>160</v>
      </c>
      <c r="AG76" s="9">
        <f>80+78</f>
        <v>158</v>
      </c>
      <c r="AH76" s="9">
        <f>AF76-AG76</f>
        <v>2</v>
      </c>
      <c r="AI76" s="9">
        <f>AH76/AG76*100</f>
        <v>1.2658227848101267</v>
      </c>
      <c r="AJ76" s="9"/>
      <c r="AK76" s="9">
        <f>+B76+G76+L76+Q76+V76+AA76+AF76</f>
        <v>913</v>
      </c>
      <c r="AL76" s="9">
        <f>+C76+H76+M76+R76+W76+AB76+AG76</f>
        <v>934</v>
      </c>
      <c r="AM76" s="9">
        <f>AK76-AL76</f>
        <v>-21</v>
      </c>
      <c r="AN76" s="9">
        <f>AM76/AL76*100</f>
        <v>-2.2483940042826553</v>
      </c>
    </row>
    <row r="77" spans="1:47" s="11" customFormat="1" ht="15" customHeight="1" x14ac:dyDescent="0.25">
      <c r="A77" s="8" t="s">
        <v>69</v>
      </c>
      <c r="B77" s="9">
        <f>B75/B76</f>
        <v>1403.7166666666667</v>
      </c>
      <c r="C77" s="9">
        <f>C75/C76</f>
        <v>1310.152</v>
      </c>
      <c r="D77" s="9">
        <f t="shared" si="35"/>
        <v>93.564666666666653</v>
      </c>
      <c r="E77" s="9">
        <f>D77/C77*100</f>
        <v>7.1415123334289952</v>
      </c>
      <c r="F77" s="9"/>
      <c r="G77" s="9">
        <f>G75/G76</f>
        <v>632.94042553191491</v>
      </c>
      <c r="H77" s="9">
        <f>H75/H76</f>
        <v>618.64853556485355</v>
      </c>
      <c r="I77" s="9">
        <f t="shared" si="36"/>
        <v>14.291889967061365</v>
      </c>
      <c r="J77" s="9">
        <f>I77/H77*100</f>
        <v>2.3101792286653091</v>
      </c>
      <c r="K77" s="9"/>
      <c r="L77" s="9">
        <f>L75/L76</f>
        <v>753.52631578947364</v>
      </c>
      <c r="M77" s="9">
        <f>M75/M76</f>
        <v>582.18421052631584</v>
      </c>
      <c r="N77" s="9">
        <f>L77-M77</f>
        <v>171.3421052631578</v>
      </c>
      <c r="O77" s="9">
        <f>N77/M77*100</f>
        <v>29.430909008723933</v>
      </c>
      <c r="P77" s="9"/>
      <c r="Q77" s="9">
        <f>Q75/Q76</f>
        <v>399.72413793103448</v>
      </c>
      <c r="R77" s="9">
        <f>R75/R76</f>
        <v>330.81609195402297</v>
      </c>
      <c r="S77" s="9">
        <f>Q77-R77</f>
        <v>68.908045977011511</v>
      </c>
      <c r="T77" s="9"/>
      <c r="U77" s="9"/>
      <c r="V77" s="9">
        <f>IFERROR(V75/V76,0)</f>
        <v>541.05405405405406</v>
      </c>
      <c r="W77" s="9">
        <f>W75/W76</f>
        <v>502.43624161073825</v>
      </c>
      <c r="X77" s="9">
        <f>V77-W77</f>
        <v>38.617812443315813</v>
      </c>
      <c r="Y77" s="9">
        <f>X77/W77*100</f>
        <v>7.6861120367258273</v>
      </c>
      <c r="Z77" s="9"/>
      <c r="AA77" s="9">
        <f>AA75/AA76</f>
        <v>510.12</v>
      </c>
      <c r="AB77" s="9">
        <f>AB75/AB76</f>
        <v>463.86956521739131</v>
      </c>
      <c r="AC77" s="9">
        <f>AA77-AB77</f>
        <v>46.250434782608693</v>
      </c>
      <c r="AD77" s="9">
        <f>AC77/AB77*100</f>
        <v>9.9705689380448028</v>
      </c>
      <c r="AE77" s="9"/>
      <c r="AF77" s="9">
        <f>AF75/AF76</f>
        <v>498.6</v>
      </c>
      <c r="AG77" s="9">
        <f>AG75/AG76</f>
        <v>495.90506329113924</v>
      </c>
      <c r="AH77" s="9">
        <f>AF77-AG77</f>
        <v>2.6949367088607801</v>
      </c>
      <c r="AI77" s="9">
        <f>AH77/AG77*100</f>
        <v>0.54343803045193328</v>
      </c>
      <c r="AJ77" s="9"/>
      <c r="AK77" s="9">
        <f>AK75/AK76</f>
        <v>661.78970427163199</v>
      </c>
      <c r="AL77" s="9">
        <f>AL75/AL76</f>
        <v>620.728051391863</v>
      </c>
      <c r="AM77" s="9">
        <f>AK77-AL77</f>
        <v>41.061652879768985</v>
      </c>
      <c r="AN77" s="9">
        <f>AM77/AL77*100</f>
        <v>6.6150793069035858</v>
      </c>
    </row>
    <row r="78" spans="1:47" s="11" customFormat="1" ht="15" customHeight="1" x14ac:dyDescent="0.25">
      <c r="A78" s="8" t="s">
        <v>70</v>
      </c>
      <c r="B78" s="9">
        <f>(1000*B26)/B75</f>
        <v>955.7178258907901</v>
      </c>
      <c r="C78" s="9">
        <f>(1000*C26)/C75</f>
        <v>873.17709010862859</v>
      </c>
      <c r="D78" s="9">
        <f t="shared" si="35"/>
        <v>82.540735782161505</v>
      </c>
      <c r="E78" s="9">
        <f>D78/C78*100</f>
        <v>9.452920457623657</v>
      </c>
      <c r="F78" s="9"/>
      <c r="G78" s="9">
        <f>(1000*G26)/G75</f>
        <v>810.68854155881695</v>
      </c>
      <c r="H78" s="9">
        <f>(1000*H26)/H75</f>
        <v>843.24292782891587</v>
      </c>
      <c r="I78" s="9">
        <f>G78-H78</f>
        <v>-32.554386270098917</v>
      </c>
      <c r="J78" s="9">
        <f>I78/H78*100</f>
        <v>-3.8606177645528761</v>
      </c>
      <c r="K78" s="9"/>
      <c r="L78" s="9">
        <f>(1000*L26)/L75</f>
        <v>904.35286547461067</v>
      </c>
      <c r="M78" s="9">
        <f>(1000*M26)/M75</f>
        <v>1258.3806341816207</v>
      </c>
      <c r="N78" s="9">
        <f>L78-M78</f>
        <v>-354.02776870701007</v>
      </c>
      <c r="O78" s="9">
        <f>N78/M78*100</f>
        <v>-28.133599571583488</v>
      </c>
      <c r="P78" s="9"/>
      <c r="Q78" s="9">
        <f>(1000*Q26)/Q75</f>
        <v>1445.4085018403498</v>
      </c>
      <c r="R78" s="9">
        <f>(1000*R26)/R75</f>
        <v>1275.9274639519128</v>
      </c>
      <c r="S78" s="9">
        <f>Q78-R78</f>
        <v>169.48103788843696</v>
      </c>
      <c r="T78" s="9">
        <f>S78/R78*100</f>
        <v>13.282968090012393</v>
      </c>
      <c r="U78" s="9"/>
      <c r="V78" s="9">
        <f>IFERROR((1000*V26)/V75,0)</f>
        <v>899.3567403466709</v>
      </c>
      <c r="W78" s="9">
        <f>(1000*W26)/W75</f>
        <v>866.08012048675585</v>
      </c>
      <c r="X78" s="9">
        <f>V78-W78</f>
        <v>33.276619859915058</v>
      </c>
      <c r="Y78" s="9">
        <f>X78/W78*100</f>
        <v>3.8422103305191762</v>
      </c>
      <c r="Z78" s="9"/>
      <c r="AA78" s="9">
        <f>(1000*AA26)/AA75</f>
        <v>1087.2336121696856</v>
      </c>
      <c r="AB78" s="9">
        <f>(1000*AB26)/AB75</f>
        <v>649.54421704627123</v>
      </c>
      <c r="AC78" s="9">
        <f>AA78-AB78</f>
        <v>437.68939512341433</v>
      </c>
      <c r="AD78" s="9">
        <f>AC78/AB78*100</f>
        <v>67.384080042118967</v>
      </c>
      <c r="AE78" s="9"/>
      <c r="AF78" s="9">
        <f>(1000*AF26)/AF75</f>
        <v>971.0204592860008</v>
      </c>
      <c r="AG78" s="9">
        <f>(1000*AG26)/AG75</f>
        <v>1020.6959524204563</v>
      </c>
      <c r="AH78" s="9">
        <f>AF78-AG78</f>
        <v>-49.675493134455451</v>
      </c>
      <c r="AI78" s="9">
        <f>AH78/AG78*100</f>
        <v>-4.8668257199076832</v>
      </c>
      <c r="AJ78" s="9"/>
      <c r="AK78" s="9">
        <f>(1000*AK26)/AK75</f>
        <v>954.19620374569286</v>
      </c>
      <c r="AL78" s="9">
        <f>(1000*AL26)/AL75</f>
        <v>894.563614409411</v>
      </c>
      <c r="AM78" s="9">
        <f>AK78-AL78</f>
        <v>59.632589336281853</v>
      </c>
      <c r="AN78" s="9">
        <f>AM78/AL78*100</f>
        <v>6.6661094164500705</v>
      </c>
    </row>
    <row r="79" spans="1:47" s="11" customFormat="1" x14ac:dyDescent="0.25">
      <c r="A79" s="8" t="s">
        <v>71</v>
      </c>
      <c r="B79" s="9">
        <f>VLOOKUP(A79,[7]CARAGA!$A$67:$AI$79,2,FALSE)</f>
        <v>84723</v>
      </c>
      <c r="C79" s="9">
        <v>75924.34</v>
      </c>
      <c r="D79" s="9">
        <f>B79-C79</f>
        <v>8798.6600000000035</v>
      </c>
      <c r="E79" s="9">
        <f>D79/C79*100</f>
        <v>11.588721087335108</v>
      </c>
      <c r="F79" s="9"/>
      <c r="G79" s="9">
        <f>VLOOKUP(A79,[7]CARAGA!$A$67:$AI$79,7,FALSE)</f>
        <v>48022.589000000007</v>
      </c>
      <c r="H79" s="9">
        <v>44535.4</v>
      </c>
      <c r="I79" s="9">
        <f>G79-H79</f>
        <v>3487.1890000000058</v>
      </c>
      <c r="J79" s="9">
        <f>I79/H79*100</f>
        <v>7.8301508462930745</v>
      </c>
      <c r="K79" s="9"/>
      <c r="L79" s="9">
        <f>VLOOKUP(A79,[7]CARAGA!$A$67:$AI$79,12,FALSE)</f>
        <v>5473</v>
      </c>
      <c r="M79" s="9">
        <v>4053</v>
      </c>
      <c r="N79" s="9">
        <f>L79-M79</f>
        <v>1420</v>
      </c>
      <c r="O79" s="9">
        <f>N79/M79*100</f>
        <v>35.035775968418456</v>
      </c>
      <c r="P79" s="9"/>
      <c r="Q79" s="9">
        <f>VLOOKUP(A79,[7]CARAGA!$A$67:$AI$79,17,FALSE)</f>
        <v>11623</v>
      </c>
      <c r="R79" s="9">
        <v>7811</v>
      </c>
      <c r="S79" s="9">
        <f>Q79-R79</f>
        <v>3812</v>
      </c>
      <c r="T79" s="9">
        <f>S79/R79*100</f>
        <v>48.802970170272694</v>
      </c>
      <c r="U79" s="9"/>
      <c r="V79" s="9">
        <f>VLOOKUP(A79,[7]CARAGA!$A$67:$AI$79,22,FALSE)</f>
        <v>34054.06</v>
      </c>
      <c r="W79" s="9">
        <v>25380.49</v>
      </c>
      <c r="X79" s="9">
        <f>IFERROR(V79-W79,0)</f>
        <v>8673.5699999999961</v>
      </c>
      <c r="Y79" s="9">
        <f>X79/W79*100</f>
        <v>34.174162910172321</v>
      </c>
      <c r="Z79" s="9"/>
      <c r="AA79" s="17">
        <f>VLOOKUP(A79,[7]CARAGA!$A$67:$AI$79,27,FALSE)</f>
        <v>14642.039758697962</v>
      </c>
      <c r="AB79" s="17">
        <v>14086.8</v>
      </c>
      <c r="AC79" s="9">
        <f>AA79-AB79</f>
        <v>555.23975869796232</v>
      </c>
      <c r="AD79" s="9">
        <f>AC79/AB79*100</f>
        <v>3.9415606006897406</v>
      </c>
      <c r="AE79" s="9"/>
      <c r="AF79" s="9">
        <f>VLOOKUP(A79,[7]CARAGA!$A$67:$AI$79,32,FALSE)</f>
        <v>21005.811000000002</v>
      </c>
      <c r="AG79" s="9">
        <v>18814.41</v>
      </c>
      <c r="AH79" s="9">
        <f>AF79-AG79</f>
        <v>2191.4010000000017</v>
      </c>
      <c r="AI79" s="9">
        <f>AH79/AG79*100</f>
        <v>11.647460643198492</v>
      </c>
      <c r="AJ79" s="9"/>
      <c r="AK79" s="9">
        <f>+B79+G79+L79+Q79+V79+AA79+AF79</f>
        <v>219543.49975869799</v>
      </c>
      <c r="AL79" s="9">
        <f>+C79+H79+M79+R79+W79+AB79+AG79</f>
        <v>190605.43999999997</v>
      </c>
      <c r="AM79" s="9">
        <f>AK79-AL79</f>
        <v>28938.059758698015</v>
      </c>
      <c r="AN79" s="9">
        <f>AM79/AL79*100</f>
        <v>15.182179353694217</v>
      </c>
    </row>
    <row r="80" spans="1:47" x14ac:dyDescent="0.25">
      <c r="A80" s="2" t="s">
        <v>72</v>
      </c>
      <c r="B80" s="26" t="s">
        <v>73</v>
      </c>
      <c r="C80" s="26"/>
      <c r="D80" s="26"/>
      <c r="E80" s="26"/>
      <c r="F80" s="9"/>
      <c r="G80" s="26" t="s">
        <v>73</v>
      </c>
      <c r="H80" s="26"/>
      <c r="I80" s="26"/>
      <c r="J80" s="26"/>
      <c r="K80" s="22"/>
      <c r="L80" s="26" t="s">
        <v>74</v>
      </c>
      <c r="M80" s="26"/>
      <c r="N80" s="26"/>
      <c r="O80" s="26"/>
      <c r="P80" s="9"/>
      <c r="Q80" s="26" t="s">
        <v>74</v>
      </c>
      <c r="R80" s="26"/>
      <c r="S80" s="26"/>
      <c r="T80" s="26"/>
      <c r="U80" s="22"/>
      <c r="V80" s="26" t="s">
        <v>73</v>
      </c>
      <c r="W80" s="26"/>
      <c r="X80" s="26"/>
      <c r="Y80" s="26"/>
      <c r="Z80" s="9"/>
      <c r="AA80" s="26" t="s">
        <v>75</v>
      </c>
      <c r="AB80" s="26"/>
      <c r="AC80" s="26"/>
      <c r="AD80" s="26"/>
      <c r="AE80" s="22"/>
      <c r="AF80" s="26" t="s">
        <v>75</v>
      </c>
      <c r="AG80" s="26"/>
      <c r="AH80" s="26"/>
      <c r="AI80" s="26"/>
      <c r="AJ80" s="22"/>
      <c r="AK80" s="9"/>
      <c r="AL80" s="9"/>
      <c r="AM80" s="9"/>
      <c r="AN80" s="9"/>
      <c r="AO80" s="11"/>
    </row>
    <row r="81" spans="1:41" ht="15" customHeight="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5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5" customHeight="1" x14ac:dyDescent="0.25">
      <c r="A83" s="2" t="s">
        <v>77</v>
      </c>
    </row>
    <row r="84" spans="1:41" ht="15" customHeight="1" x14ac:dyDescent="0.25"/>
    <row r="85" spans="1:41" ht="15" customHeight="1" x14ac:dyDescent="0.25"/>
    <row r="86" spans="1:41" ht="15" customHeight="1" x14ac:dyDescent="0.25"/>
    <row r="87" spans="1:41" ht="15" customHeight="1" x14ac:dyDescent="0.25"/>
    <row r="88" spans="1:41" ht="15" customHeight="1" x14ac:dyDescent="0.25"/>
    <row r="89" spans="1:41" ht="15" customHeight="1" x14ac:dyDescent="0.25"/>
    <row r="90" spans="1:41" ht="15" customHeight="1" x14ac:dyDescent="0.25"/>
    <row r="91" spans="1:41" ht="15" customHeight="1" x14ac:dyDescent="0.25"/>
    <row r="92" spans="1:41" ht="15" customHeight="1" x14ac:dyDescent="0.25"/>
    <row r="93" spans="1:41" ht="15" customHeight="1" x14ac:dyDescent="0.25"/>
    <row r="94" spans="1:41" ht="15" customHeight="1" x14ac:dyDescent="0.25"/>
    <row r="95" spans="1:41" ht="15" customHeight="1" x14ac:dyDescent="0.25"/>
    <row r="96" spans="1:41" ht="15" customHeight="1" x14ac:dyDescent="0.25"/>
    <row r="97" spans="1:1" ht="15" customHeight="1" x14ac:dyDescent="0.25"/>
    <row r="98" spans="1:1" ht="15" customHeight="1" x14ac:dyDescent="0.25"/>
    <row r="99" spans="1:1" ht="15" customHeight="1" x14ac:dyDescent="0.25">
      <c r="A99" s="2">
        <v>1</v>
      </c>
    </row>
    <row r="100" spans="1:1" ht="15" customHeight="1" x14ac:dyDescent="0.25"/>
  </sheetData>
  <mergeCells count="31">
    <mergeCell ref="AH9:AI9"/>
    <mergeCell ref="AM9:AN9"/>
    <mergeCell ref="B80:E80"/>
    <mergeCell ref="G80:J80"/>
    <mergeCell ref="L80:O80"/>
    <mergeCell ref="Q80:T80"/>
    <mergeCell ref="V80:Y80"/>
    <mergeCell ref="AA80:AD80"/>
    <mergeCell ref="AF80:AI80"/>
    <mergeCell ref="D9:E9"/>
    <mergeCell ref="I9:J9"/>
    <mergeCell ref="N9:O9"/>
    <mergeCell ref="S9:T9"/>
    <mergeCell ref="X9:Y9"/>
    <mergeCell ref="AC9:AD9"/>
    <mergeCell ref="AF5:AI5"/>
    <mergeCell ref="AK5:AN5"/>
    <mergeCell ref="B7:E7"/>
    <mergeCell ref="F7:J7"/>
    <mergeCell ref="L7:O7"/>
    <mergeCell ref="Q7:T7"/>
    <mergeCell ref="V7:Y7"/>
    <mergeCell ref="AA7:AD7"/>
    <mergeCell ref="AF7:AI7"/>
    <mergeCell ref="AK7:AN7"/>
    <mergeCell ref="B5:E5"/>
    <mergeCell ref="F5:J5"/>
    <mergeCell ref="L5:O5"/>
    <mergeCell ref="Q5:T5"/>
    <mergeCell ref="V5:Y5"/>
    <mergeCell ref="AA5:AD5"/>
  </mergeCells>
  <pageMargins left="0.75" right="0" top="0.45" bottom="0" header="0.5" footer="0.5"/>
  <pageSetup paperSize="9" scale="69" orientation="portrait" r:id="rId1"/>
  <headerFooter alignWithMargins="0"/>
  <colBreaks count="3" manualBreakCount="3">
    <brk id="10" max="1048575" man="1"/>
    <brk id="20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CARAGA</vt:lpstr>
      <vt:lpstr>CARAGA!Print_Area</vt:lpstr>
      <vt:lpstr>CARAGA!Print_Titles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2024-03-01T08:09:22Z</dcterms:created>
  <dcterms:modified xsi:type="dcterms:W3CDTF">2024-03-08T07:08:51Z</dcterms:modified>
</cp:coreProperties>
</file>